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673" firstSheet="9" activeTab="15"/>
  </bookViews>
  <sheets>
    <sheet name="bev-kiad." sheetId="1" state="hidden" r:id="rId1"/>
    <sheet name="1.sz.mell_Vagyonmérleg 2020." sheetId="2" r:id="rId2"/>
    <sheet name="2.sz.mell_Vagyonkimutatás2020." sheetId="3" r:id="rId3"/>
    <sheet name="2a,b,c" sheetId="4" r:id="rId4"/>
    <sheet name="3.sz.mell_2020.fő" sheetId="5" r:id="rId5"/>
    <sheet name="4.sz.mell_2020.működési" sheetId="6" r:id="rId6"/>
    <sheet name="5.sz.mell_2020.felhalmozási" sheetId="7" r:id="rId7"/>
    <sheet name="6.sz.mell_Feladat szerint Önk." sheetId="8" r:id="rId8"/>
    <sheet name="7.sz.mell_Feladat szerint Hiv." sheetId="9" r:id="rId9"/>
    <sheet name="8.sz.mell." sheetId="10" r:id="rId10"/>
    <sheet name="9.sz.mell." sheetId="11" r:id="rId11"/>
    <sheet name="10.sz. mell. EU Önk." sheetId="12" r:id="rId12"/>
    <sheet name="11.sz. mell. Hazai Önk." sheetId="13" r:id="rId13"/>
    <sheet name="12.sz. mell.EU Hivatal" sheetId="14" r:id="rId14"/>
    <sheet name="13.sz.mell.egyéb Hivatal" sheetId="15" r:id="rId15"/>
    <sheet name="peszk.vált,pmaradv." sheetId="16" r:id="rId16"/>
    <sheet name="Rendelethez" sheetId="17" state="hidden" r:id="rId17"/>
  </sheets>
  <externalReferences>
    <externalReference r:id="rId20"/>
    <externalReference r:id="rId21"/>
    <externalReference r:id="rId22"/>
    <externalReference r:id="rId23"/>
  </externalReferences>
  <definedNames>
    <definedName name="_4._sz._sor_részletezése">#REF!</definedName>
    <definedName name="_4._sz._sor_részletezése_1">"#REF!"</definedName>
    <definedName name="_xlnm._FilterDatabase" localSheetId="7" hidden="1">'6.sz.mell_Feladat szerint Önk.'!$L$1:$L$66</definedName>
    <definedName name="_xlnm._FilterDatabase" localSheetId="9" hidden="1">'8.sz.mell.'!$M$1:$M$52</definedName>
    <definedName name="_xlfn.SINGLE" hidden="1">#NAME?</definedName>
    <definedName name="_xlnm.Print_Area_1">#REF!</definedName>
    <definedName name="_xlnm.Print_Titles" localSheetId="1">'1.sz.mell_Vagyonmérleg 2020.'!$5:$5</definedName>
    <definedName name="_xlnm.Print_Area" localSheetId="1">'1.sz.mell_Vagyonmérleg 2020.'!$A$1:$D$161</definedName>
    <definedName name="_xlnm.Print_Area" localSheetId="11">'10.sz. mell. EU Önk.'!$A$1:$L$130</definedName>
    <definedName name="_xlnm.Print_Area" localSheetId="12">'11.sz. mell. Hazai Önk.'!$A$1:$L$130</definedName>
    <definedName name="_xlnm.Print_Area" localSheetId="13">'12.sz. mell.EU Hivatal'!$A$1:$L$2070</definedName>
    <definedName name="_xlnm.Print_Area" localSheetId="14">'13.sz.mell.egyéb Hivatal'!$A$1:$L$51</definedName>
    <definedName name="_xlnm.Print_Area" localSheetId="3">'2a,b,c'!$A$1:$I$63</definedName>
    <definedName name="_xlnm.Print_Area" localSheetId="4">'3.sz.mell_2020.fő'!$A$1:$L$230</definedName>
    <definedName name="_xlnm.Print_Area" localSheetId="5">'4.sz.mell_2020.működési'!$A$1:$L$156</definedName>
    <definedName name="_xlnm.Print_Area" localSheetId="6">'5.sz.mell_2020.felhalmozási'!$A$1:$L$92</definedName>
    <definedName name="_xlnm.Print_Area" localSheetId="7">'6.sz.mell_Feladat szerint Önk.'!$A$1:$L$66</definedName>
    <definedName name="_xlnm.Print_Area" localSheetId="8">'7.sz.mell_Feladat szerint Hiv.'!$A$1:$L$66</definedName>
    <definedName name="_xlnm.Print_Area" localSheetId="9">'8.sz.mell.'!$A$1:$M$63</definedName>
    <definedName name="_xlnm.Print_Area" localSheetId="10">'9.sz.mell.'!$A$1:$E$28</definedName>
    <definedName name="_xlnm.Print_Area" localSheetId="15">'peszk.vált,pmaradv.'!$A$1:$C$54</definedName>
  </definedNames>
  <calcPr fullCalcOnLoad="1"/>
</workbook>
</file>

<file path=xl/sharedStrings.xml><?xml version="1.0" encoding="utf-8"?>
<sst xmlns="http://schemas.openxmlformats.org/spreadsheetml/2006/main" count="11368" uniqueCount="953">
  <si>
    <t>Jogszabályi hivatkozás</t>
  </si>
  <si>
    <t>Kapott támogatás</t>
  </si>
  <si>
    <t xml:space="preserve">Működési </t>
  </si>
  <si>
    <t>Előirányzat csoport</t>
  </si>
  <si>
    <t>Működési célú támogatásértékű bevétel</t>
  </si>
  <si>
    <t xml:space="preserve"> -elkülönített állami pénzalapból </t>
  </si>
  <si>
    <t>-társadalombiztosítás pénzügyi alapjaiból</t>
  </si>
  <si>
    <t>-nemzetiségi önkormányzattól</t>
  </si>
  <si>
    <t>-többcélú kistérségi társulástól</t>
  </si>
  <si>
    <t>Közhatalmi bevételek</t>
  </si>
  <si>
    <t>-jogi személyiségű társulástól</t>
  </si>
  <si>
    <t>-térségi fejlesztési tanácstól</t>
  </si>
  <si>
    <t xml:space="preserve">-európai uniós forrásból </t>
  </si>
  <si>
    <t>-fejezeti kezelésű előirányzatból</t>
  </si>
  <si>
    <t>-központi költségvetésből</t>
  </si>
  <si>
    <t>-központi költségvetéstől kapott támogatás</t>
  </si>
  <si>
    <t>-irányító szervtől kapott támogatás</t>
  </si>
  <si>
    <t>-adók</t>
  </si>
  <si>
    <t>-illetékek</t>
  </si>
  <si>
    <t>-járulékok</t>
  </si>
  <si>
    <t>-hozzájárulások</t>
  </si>
  <si>
    <t>-bírságok, díjak</t>
  </si>
  <si>
    <t>-egyéb fizetési kötelezettségek</t>
  </si>
  <si>
    <t>I.</t>
  </si>
  <si>
    <t>Bevétel (kiemelt előirányzatai)</t>
  </si>
  <si>
    <t>Intézményi működési bevétel</t>
  </si>
  <si>
    <t>-áru és készletértékesítés</t>
  </si>
  <si>
    <t>-nyújtott szolgáltatások ellenértéke</t>
  </si>
  <si>
    <t>-bérleti díj bevételek</t>
  </si>
  <si>
    <t>-intézményi ellátási díjak</t>
  </si>
  <si>
    <t>-alkalmazottak térítése</t>
  </si>
  <si>
    <t>-Áfa bevételek</t>
  </si>
  <si>
    <t>-hozam és kamatbevételek</t>
  </si>
  <si>
    <t>Működési célú átvett pénzeszköz</t>
  </si>
  <si>
    <t>Előző évi működési célú maradvány átvétele</t>
  </si>
  <si>
    <t>I/1.</t>
  </si>
  <si>
    <t>I/2.</t>
  </si>
  <si>
    <t>Előző évi működési célú pénzmaradvány igénybevétele</t>
  </si>
  <si>
    <t>Kiadás (kiemelt előirányzatai)</t>
  </si>
  <si>
    <t>Felhalmozási bevételek</t>
  </si>
  <si>
    <t>-tárgyi eszközök és immateriális javak értékesítése</t>
  </si>
  <si>
    <t>-pénzügyi befektetések bevételei</t>
  </si>
  <si>
    <t>Felhalmozási célú átvett pénzeszköz</t>
  </si>
  <si>
    <t>Felhalmozási célú támogatásértékű bevétel</t>
  </si>
  <si>
    <t>Előző évi felhalmozási célú pénzmaradvány igénybevétele</t>
  </si>
  <si>
    <t>II.</t>
  </si>
  <si>
    <t xml:space="preserve">Felhalmozási </t>
  </si>
  <si>
    <t>I/3.</t>
  </si>
  <si>
    <t>I/4.</t>
  </si>
  <si>
    <t>I/5.</t>
  </si>
  <si>
    <t>I/6.</t>
  </si>
  <si>
    <t>I/7.</t>
  </si>
  <si>
    <t>II/1.</t>
  </si>
  <si>
    <t>II/2.</t>
  </si>
  <si>
    <t>II/3.</t>
  </si>
  <si>
    <t>II/4.</t>
  </si>
  <si>
    <t>III.</t>
  </si>
  <si>
    <t>Kölcsönök</t>
  </si>
  <si>
    <t>III/1.</t>
  </si>
  <si>
    <t>III/2.</t>
  </si>
  <si>
    <t>Működési célú kölcsönök</t>
  </si>
  <si>
    <t>-Kapott kölcsönök</t>
  </si>
  <si>
    <t>-Kölcsön visszatérülése</t>
  </si>
  <si>
    <t>Felhalmozási célú kölcsönök</t>
  </si>
  <si>
    <t>IV.</t>
  </si>
  <si>
    <t>Finanszírozási célú pénzügyi műveletek bevételei</t>
  </si>
  <si>
    <t>-működési célú</t>
  </si>
  <si>
    <t>-felhalmozási célú</t>
  </si>
  <si>
    <t>Előző évi felhalmozási célú maradvány átvétele</t>
  </si>
  <si>
    <t>II/5.</t>
  </si>
  <si>
    <t>Ávr. 2.§ a)</t>
  </si>
  <si>
    <t>Ávr. 2.§ b)</t>
  </si>
  <si>
    <t>Ávr. 2.§ c); Áht. 5. § (1) a)</t>
  </si>
  <si>
    <t>Ávr. 2.§ d)</t>
  </si>
  <si>
    <t>Ávr. 2. § f)</t>
  </si>
  <si>
    <t>Ávr. 2. § g)</t>
  </si>
  <si>
    <t>Ávr. 2. § i)</t>
  </si>
  <si>
    <t>Ávr. 2. § e)</t>
  </si>
  <si>
    <t>Ávr. 2. § h)</t>
  </si>
  <si>
    <t>Áht. 6.§ (3)</t>
  </si>
  <si>
    <t>Személyi juttatások</t>
  </si>
  <si>
    <t>Munkaadókat terhelő járulékok</t>
  </si>
  <si>
    <t>Szociális hozzájárulások</t>
  </si>
  <si>
    <t>Dologi kiadások</t>
  </si>
  <si>
    <t>Ellátottak pénzbeli juttatásai</t>
  </si>
  <si>
    <t>Egyéb működési célú kiadások</t>
  </si>
  <si>
    <t>Intézményi beruházások</t>
  </si>
  <si>
    <t>Felújítások</t>
  </si>
  <si>
    <t>Kormányzati beruházások</t>
  </si>
  <si>
    <t>Lakástámogatás</t>
  </si>
  <si>
    <t>Egyéb felhalmozási kiadások</t>
  </si>
  <si>
    <t>-Kölcsön nyújtás</t>
  </si>
  <si>
    <t>-Kölcsön törlesztése</t>
  </si>
  <si>
    <t>Mindösszesen</t>
  </si>
  <si>
    <t>Finanszírozási célú pénzügyi műveletek kiadásai</t>
  </si>
  <si>
    <t>Tartalékok</t>
  </si>
  <si>
    <t>Általános tartalék</t>
  </si>
  <si>
    <t>Céltartalék</t>
  </si>
  <si>
    <t>Áht. 23.§ (4)</t>
  </si>
  <si>
    <t>Áht. 23. 2) § e)</t>
  </si>
  <si>
    <t>V.</t>
  </si>
  <si>
    <t>IV/1.</t>
  </si>
  <si>
    <t>IV/2.</t>
  </si>
  <si>
    <t>Működési célú támogatás Áht.-on belülről</t>
  </si>
  <si>
    <t xml:space="preserve">Bevételek </t>
  </si>
  <si>
    <t>Kiadások</t>
  </si>
  <si>
    <t>Felhalmozási célú támogatás Áht.-on belülről</t>
  </si>
  <si>
    <t>Felhalmozási bevétel</t>
  </si>
  <si>
    <t>MŰKÖDÉSI KÖLTSÉGVETÉSI BEVÉTELEK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</si>
  <si>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</si>
  <si>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</si>
  <si>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1.</t>
  </si>
  <si>
    <t>2.</t>
  </si>
  <si>
    <t>3.</t>
  </si>
  <si>
    <t>4.</t>
  </si>
  <si>
    <t>5.</t>
  </si>
  <si>
    <t>6.</t>
  </si>
  <si>
    <t>7.</t>
  </si>
  <si>
    <t>FELHALMOZÁSI KÖLTSÉGVETÉSI BEVÉTELEK</t>
  </si>
  <si>
    <t>Befektetési vagy forgatási célú hitelviszonyt megtestesítő értékpapír kibocsátása, értékesítése, beváltása az eladási árban elismert kamat kivételével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</si>
  <si>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</si>
  <si>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</si>
  <si>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</si>
  <si>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</si>
  <si>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</si>
  <si>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Irányító szervi támogatásként folyósított támogatás fizetési számlán történő jóváírása</t>
  </si>
  <si>
    <t>MŰKÖDÉSI FINANSZÍROZÁSI BEVÉTELEK</t>
  </si>
  <si>
    <t>FELHALMOZÁSI FINANSZÍROZÁSI BEVÉTELEK</t>
  </si>
  <si>
    <t xml:space="preserve"> Befektetési vagy forgatási célú hitelviszonyt megtestesítő értékpapír kibocsátása, értékesítése, beváltása az eladási árban elismert kamat kivételével</t>
  </si>
  <si>
    <t>MŰKÖDÉSI KÖLTSÉGVETÉSI KIADÁSOK</t>
  </si>
  <si>
    <t>FELHALMOZÁSI KÖLTSÉGVETÉSI KIADÁSOK</t>
  </si>
  <si>
    <t>Beruházások</t>
  </si>
  <si>
    <t>MŰKÖDÉSI FINANSZÍROZÁSI KIADÁSOK</t>
  </si>
  <si>
    <t>FELHALMOZÁSI FINANSZÍROZÁSI KIADÁSOK</t>
  </si>
  <si>
    <t>Befektetési vagy forgatási célú hitelviszonyt megtestesítő értékpapír vásárlása a vételárban elismert kamat kivételével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</si>
  <si>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</si>
  <si>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</si>
  <si>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</si>
  <si>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</si>
  <si>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Irányító szervi támogatásként folyósított támogatás kiutalása</t>
  </si>
  <si>
    <t>Adók</t>
  </si>
  <si>
    <t>Illetékek</t>
  </si>
  <si>
    <t>Járulékok</t>
  </si>
  <si>
    <t>Hozzájárulások</t>
  </si>
  <si>
    <t>Bírságok</t>
  </si>
  <si>
    <t>Díjak</t>
  </si>
  <si>
    <t>Más fizetési kötelezettségek</t>
  </si>
  <si>
    <t>Munkaadókat terhelő járulékok és szociális hozzájárulási adó</t>
  </si>
  <si>
    <t>BEVÉTELEK MINDÖSSZESEN</t>
  </si>
  <si>
    <t>KIADÁSOK MINDÖSSZESEN</t>
  </si>
  <si>
    <t>Kötelező feladatok</t>
  </si>
  <si>
    <t>Önként vállalt feladatok</t>
  </si>
  <si>
    <t>Állami (államigazgatási) feladatok</t>
  </si>
  <si>
    <t>Összesen</t>
  </si>
  <si>
    <t>Megnevezés</t>
  </si>
  <si>
    <t>MŰKÖDÉSI KÖLTSÉGVETÉSI BEVÉTELEK (I+II+III+IV)</t>
  </si>
  <si>
    <t>MŰKÖDÉSI KÖLTSÉGVETÉSI KIADÁSOK (I+II+….V)</t>
  </si>
  <si>
    <t>Működési célú támogatások Áht.-on belülről (1+2….+6)</t>
  </si>
  <si>
    <t>Önkormányzatok működési támogatásai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</si>
  <si>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</si>
  <si>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</si>
  <si>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</si>
  <si>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</si>
  <si>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</si>
  <si>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</si>
  <si>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</si>
  <si>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</si>
  <si>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</si>
  <si>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</si>
  <si>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</si>
  <si>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bevételek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</si>
  <si>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</si>
  <si>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</si>
  <si>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</si>
  <si>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</si>
  <si>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</si>
  <si>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</si>
  <si>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</si>
  <si>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</si>
  <si>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</si>
  <si>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</si>
  <si>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Működési célú átvett pénzeszközök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</si>
  <si>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</si>
  <si>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</si>
  <si>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</si>
  <si>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(V+VI+VII)</t>
  </si>
  <si>
    <t>FELHALMOZÁSI KÖLTSÉGVETÉSI KIADÁSOK (VI+VII+VIII)</t>
  </si>
  <si>
    <t>Felhalmozási célú támogatások Áht.-on belülről</t>
  </si>
  <si>
    <t>VI.</t>
  </si>
  <si>
    <t>Felhalmozási célú önkormányzati támogatások</t>
  </si>
  <si>
    <t>VII.</t>
  </si>
  <si>
    <t>Felhalmozási célú garancia- és kezességvállalásból származó megtérülések államháztartáson belülről</t>
  </si>
  <si>
    <t>VIII.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</si>
  <si>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</si>
  <si>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</si>
  <si>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</si>
  <si>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</si>
  <si>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</si>
  <si>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</si>
  <si>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</si>
  <si>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</si>
  <si>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célú átvett pénzeszközök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</si>
  <si>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</si>
  <si>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</si>
  <si>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</si>
  <si>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MŰKÖDÉSI FINANSZÍROZÁSI BEVÉTELEK (1+2+….+7)</t>
  </si>
  <si>
    <t>MŰKÖDÉSI FINANSZÍROZÁSI KIADÁSOK (1+2+….+7)</t>
  </si>
  <si>
    <t>FELHALMOZÁSI FINANSZÍROZÁSI BEVÉTELEK (1+2+….+7)</t>
  </si>
  <si>
    <t>FELHALMOZÁSI FINANSZÍROZÁSI KIADÁSOK (1+2+….+7)</t>
  </si>
  <si>
    <t>Működési célú támogatások Áht-on belülről</t>
  </si>
  <si>
    <t>- ebből önkormányzatok működési támogatásai</t>
  </si>
  <si>
    <t>Egyéb működési célú kiadások (tartalékokkal együtt)</t>
  </si>
  <si>
    <t>ebből tartalék</t>
  </si>
  <si>
    <t>8.</t>
  </si>
  <si>
    <t>Államháztartáson belüli megelőlegezések</t>
  </si>
  <si>
    <t>Ft-ban</t>
  </si>
  <si>
    <t>adatok Ft-ban</t>
  </si>
  <si>
    <r>
      <t xml:space="preserve">Egyéb működési célú kiadások </t>
    </r>
    <r>
      <rPr>
        <sz val="11"/>
        <rFont val="Arial"/>
        <family val="2"/>
      </rPr>
      <t>(tartalékokkal együtt K512 rovatszám)</t>
    </r>
  </si>
  <si>
    <t>Pénzügyi lízing lízingbevevői félként a lízingszerződésben kikötött tőkerész törlesztésére teljesített kiadások</t>
  </si>
  <si>
    <t>Pályázatok összesen</t>
  </si>
  <si>
    <t>Paktum - TOP-5.1.1-15-BA1</t>
  </si>
  <si>
    <t>TANIA</t>
  </si>
  <si>
    <t>ProteCHt  (2017.03.28-i MNB középárfolyammal számolva)</t>
  </si>
  <si>
    <t xml:space="preserve"> TOP-1.2.1-15-BA1-2016-00002-A Zengő ökoturisztikai fejlesztése</t>
  </si>
  <si>
    <t>EFOP-1.6.3-17 BMO</t>
  </si>
  <si>
    <t>TOP-5.3.1-16-BA2-2017-00004 BMÖ-Mozsgó</t>
  </si>
  <si>
    <t>Hazai pályázatok összesen</t>
  </si>
  <si>
    <t>Eredeti előirányzat</t>
  </si>
  <si>
    <t xml:space="preserve"> TOP-1.1.1-16-BA1-2017-00005_Harkány</t>
  </si>
  <si>
    <t xml:space="preserve"> TOP-1.1.3-16-BA1-2017-00003_Harkány</t>
  </si>
  <si>
    <t xml:space="preserve"> TOP-2.1.3-16-BA1-2017-00010_Kölked</t>
  </si>
  <si>
    <t xml:space="preserve"> TOP-3.1.1-16-BA1-2017-00008_Pellérd</t>
  </si>
  <si>
    <t>Időközi választások</t>
  </si>
  <si>
    <t>Ebből:</t>
  </si>
  <si>
    <t>Műk. célú pénzeszköz átadás államháztar-táson belülre</t>
  </si>
  <si>
    <t>Műk. célú pénzeszköz átadás államháztar-táson kívülre</t>
  </si>
  <si>
    <t>Pannon ETT támogatása</t>
  </si>
  <si>
    <t>Összesen:</t>
  </si>
  <si>
    <t>Baranya Megyei Önkormányzat</t>
  </si>
  <si>
    <t>Önkormányzati ingatlan felújítás</t>
  </si>
  <si>
    <t>Baranya Megyei Önkormányzat Hivatala</t>
  </si>
  <si>
    <t>Hivatal felújítás</t>
  </si>
  <si>
    <t>Tárgyi eszköz beszerzés</t>
  </si>
  <si>
    <t xml:space="preserve">TOP-2.1.2-15-BA1-2016-00004 Az élhetőbb jövő - Harkányi zöld belváros </t>
  </si>
  <si>
    <t xml:space="preserve">TOP-3.1.1-15-BA1-2016-00008 Közlekedésbiztonsági fejlesztés Harkány belvárosában </t>
  </si>
  <si>
    <t>TOP-3.1.1-15-BA1-2016-00006 Fenntartható települési közlekedésfejlesztés Birján településen</t>
  </si>
  <si>
    <t>TOP-5.1.1-15-BA1 Paktum</t>
  </si>
  <si>
    <t>TOP-1.4.1-15-BA1-2016-00019 Szigetvári Óvodák és bölcsőde bővítése és felújítása</t>
  </si>
  <si>
    <t xml:space="preserve">TOP-2.1.3-15-BA1-2016-00010 Sásd, Dózsa György utca és környezetének csapadékvíz elvezetése </t>
  </si>
  <si>
    <t xml:space="preserve">TOP-3.1.1-15-BA1-2016-00004 Új kerékpárút építése Szigetvár településen </t>
  </si>
  <si>
    <t>TOP-3.2.1-15-BA1-2016-00010 A szigetvári sportcsarnok és tanuszoda épületének energatikai korszerűsítése</t>
  </si>
  <si>
    <t>TOP-3.1.1-15-BA1-2016-00009 Szentlőrinc - Tarcsapuszta kerékpárút</t>
  </si>
  <si>
    <t>TOP-4.1.1-15-BA1-2016-00019 Védőnői szolgálat épületének felújítása Kölkeden</t>
  </si>
  <si>
    <t xml:space="preserve">TOP-4.1.1-15-BA1-2016-00021 Egészségügyi alapelltátás infrastrukturális fejlesztése a nagykozári háriorvosi körzetben </t>
  </si>
  <si>
    <t xml:space="preserve">TOP-2.1.3-15-BA1-2016-00003 Csapadékvíz elvezető rendszer fejlesztése Mánfa község belterületén </t>
  </si>
  <si>
    <t xml:space="preserve">TOP-3.1.1-15-BA1-2016-00007 Kerékpárút kialakítása Komló - Sikonda településrész és Komló belváros között </t>
  </si>
  <si>
    <t xml:space="preserve">TOP-3.2.1-15-BA1-2016-00003 A Pécsváradi Közös Önkormányzati Hivatal épületenergetikai korszerűsítése  </t>
  </si>
  <si>
    <t>TOP-2.1.3-15-BA1-2016-00005 Belterületi vízvédelem megvalósítása Vajszló kritikus részein, valamint automata átemelő szivattyúrendszer telepítése csapadákvíz befogadóhoz (Fekete-víz)</t>
  </si>
  <si>
    <t>TOP-1.1.3-15-BA1-2016-00001 A Komló Város területén lévő piac és vásárcsarnok rekonstrukciója</t>
  </si>
  <si>
    <t>TOP-1.2.1-15-BA1-2016-00006 Szentlászlótól a bánáti bazsarózsáig - a Püspökszentlászlói Arborétum ökoturisztikai fejlesztése</t>
  </si>
  <si>
    <t>TOP-1.4.1-15-BA1-2016-00005 Bőlcsőde kialakítás és óvoda fejlesztés Mágocs városában</t>
  </si>
  <si>
    <t>TOP-1.1.3-15-BA1-2016-00004 Szászi piac kialakítása</t>
  </si>
  <si>
    <t>TOP-1.4.1-15-BA1-2016-00002 Új bölcsőde kialakítása Szászváron</t>
  </si>
  <si>
    <t>TOP-3.1.1-15-BA1-2016-00011 Villányt és Villánykövesdet összekötő kerékpárút megvalósítása</t>
  </si>
  <si>
    <t>TOP-3.1.1-15-BA1-2016-00001 Kerékpárút fejlesztés és körforgalom építés Siklós városában</t>
  </si>
  <si>
    <t>TOP-3.2.2-15-BA1-2016-00006 Geotermikus energia felhasználása Himesházán</t>
  </si>
  <si>
    <t>TOP-4.1.1-15-BA1-2016-00018 Orvosi rendelő felújítása és korszerűsítése Márokon</t>
  </si>
  <si>
    <t>TOP-3.2.1-15-BA1-2016-00002 Geresdlak Önkormányzat intézményeinek energiahatékonysági korszerűsítése</t>
  </si>
  <si>
    <t>TOP-3.1.1-15-BA1-2016-00003 Kekékpárút- és közlekedésbiztonsági fejlesztés Kozármislenyben</t>
  </si>
  <si>
    <t>TOP-3.2.1-15-BA1-2016-00004 A Szederkényi Óvoda épületének energetikai korszerűsítése</t>
  </si>
  <si>
    <t>TOP-2.1.3-15-BA1-2016-00008 Máza belterületi vízrendezése III. ütem</t>
  </si>
  <si>
    <t>TOP-1.4.1-15-BA1-2016-00014 Bólyi Óvoda és Bölcsőde építése</t>
  </si>
  <si>
    <t>TOP-1.1.1-15-BA1-2016-00009 Bólyi Ipari Park fejlesztése IV. ütem</t>
  </si>
  <si>
    <t>TOP-5.2.1-15-BA1-2016-00002 Közösen élhetőbb lakókörnyezetünkért, mindennapjainkért Mágocson</t>
  </si>
  <si>
    <t>TOP-5.2.1-15-BA1-2016-00003 Társadalmi együttműködés erősítését szolgáló komplex program Siklós-Váralja</t>
  </si>
  <si>
    <t>TOP-1.2.1-15-BA1-2016-00002 A Zengő ökoturisztikai fejlesztése</t>
  </si>
  <si>
    <t>TOP-1.1.1-15-BA1-2016-00008 Pellérdi Keleti iparterület fejlesztése</t>
  </si>
  <si>
    <t>TOP-3.2.1-15-BA1-2016-00011 Mágocs–Hegyháti Általános Iskola és Alapfokú Művészeti Iskola energetikai korszerűsítése a káros-anyag kibocsátás csökkentése céljából</t>
  </si>
  <si>
    <t>TOP-3.1.1-16-BA1-2017-00005_Szederkény-Bogád kerékpárút</t>
  </si>
  <si>
    <t xml:space="preserve">TOP-2.1.3-15-BA1-2016-00002 Orfű Pécsi - tó Műtárgyainak fejlesztése  </t>
  </si>
  <si>
    <t xml:space="preserve"> TOP-1.4.1-16_ Harkány bölcsöde kialakítása</t>
  </si>
  <si>
    <t xml:space="preserve"> TOP-1.1.3-16 Sásd Piac</t>
  </si>
  <si>
    <t xml:space="preserve"> TOP-2.1.2-16 Sásd Városközpont</t>
  </si>
  <si>
    <t>TOP-2.1.2-16-BA1-2016 Kozármisleny_Zöld város</t>
  </si>
  <si>
    <t>TOP-2.1.2-16- Siklós_ Zöld város</t>
  </si>
  <si>
    <t>TOP-2.1.2-16-BA1- Bóly_Zöld város</t>
  </si>
  <si>
    <t>TOP-3.2.1-16 Kozármisleny_Energetika korszerűsítés</t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</si>
  <si>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költségvetési bevételeit</t>
    </r>
  </si>
  <si>
    <r>
      <t>aa)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működési költségvetési bevételeit </t>
    </r>
  </si>
  <si>
    <r>
      <t>ab)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felhalmozási költségvetési bevételeit 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</si>
  <si>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 xml:space="preserve">költségvetési kiadásait </t>
    </r>
  </si>
  <si>
    <r>
      <t>ba)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működési költségvetési kiadásai</t>
    </r>
  </si>
  <si>
    <r>
      <t>bb)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felhalmozási költségvetési bevételeit </t>
    </r>
  </si>
  <si>
    <r>
      <t>c)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 xml:space="preserve">finanszírozási kiadásait </t>
    </r>
  </si>
  <si>
    <r>
      <t>d)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 xml:space="preserve">költségvetésének egyenlegét </t>
    </r>
  </si>
  <si>
    <r>
      <t>da)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működési költségvetés egyenlegét</t>
    </r>
  </si>
  <si>
    <r>
      <t>db)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felhalmozási költségvetési egyenlegét </t>
    </r>
  </si>
  <si>
    <r>
      <t>e)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Arial"/>
        <family val="2"/>
      </rPr>
      <t>a költségvetési hiány belső finanszírozására szolgáló pénzmaradvány igénybevételét</t>
    </r>
  </si>
  <si>
    <r>
      <t>ea)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 xml:space="preserve">működési költségvetési hiány belső finanszírozására szolgáló működési célú pénzmaradvány igénybevételét </t>
    </r>
  </si>
  <si>
    <r>
      <t>eb)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Arial"/>
        <family val="2"/>
      </rPr>
      <t>felhalmozási költségvetési hiány belső finanszírozására szolgáló felhalmozási célú pénzmaradvány igénybevételét</t>
    </r>
  </si>
  <si>
    <t>Eredeti</t>
  </si>
  <si>
    <t>Módosított</t>
  </si>
  <si>
    <t>ca) működési finanszírozási kiadásait</t>
  </si>
  <si>
    <t>Teljesítés</t>
  </si>
  <si>
    <t>Teljesítés %-ban</t>
  </si>
  <si>
    <t xml:space="preserve">Eredeti előirányzat </t>
  </si>
  <si>
    <t>Módosított előirányzta III.</t>
  </si>
  <si>
    <t xml:space="preserve">Teljesítés </t>
  </si>
  <si>
    <t>Teljesítés a módosított előirányzat %-ában</t>
  </si>
  <si>
    <t>Működési célú támogatás államháztartáson belülre</t>
  </si>
  <si>
    <t>Előző időszak</t>
  </si>
  <si>
    <t>Tárgyi időszak</t>
  </si>
  <si>
    <t/>
  </si>
  <si>
    <t>ESZKÖZÖK</t>
  </si>
  <si>
    <t>01</t>
  </si>
  <si>
    <t>A/I/1        Vagyoni értékű jogok</t>
  </si>
  <si>
    <t>02</t>
  </si>
  <si>
    <t>A/I/2        Szellemi termékek</t>
  </si>
  <si>
    <t>03</t>
  </si>
  <si>
    <t>A/I/3        Immateriális javak értékhelyesbítése</t>
  </si>
  <si>
    <t>04</t>
  </si>
  <si>
    <t>A/I        Immateriális javak (=A/I/1+A/I/2+A/I/3) (04=01+02+03)</t>
  </si>
  <si>
    <t>05</t>
  </si>
  <si>
    <t>A/II/1        Ingatlanok és a kapcsolódó vagyoni értékű jogok</t>
  </si>
  <si>
    <t>06</t>
  </si>
  <si>
    <t>A/II/2        Gépek, berendezések, felszerelések, járművek</t>
  </si>
  <si>
    <t>07</t>
  </si>
  <si>
    <t>A/II/3        Tenyészállatok</t>
  </si>
  <si>
    <t>08</t>
  </si>
  <si>
    <t>A/II/4        Beruházások, felújítások</t>
  </si>
  <si>
    <t>09</t>
  </si>
  <si>
    <t>A/II/5        Tárgyi eszközök értékhelyesbítése</t>
  </si>
  <si>
    <t>10</t>
  </si>
  <si>
    <t>A/II        Tárgyi eszközök (=A/II/1+...+A/II/5) (10=05+...+09)</t>
  </si>
  <si>
    <t>11</t>
  </si>
  <si>
    <t>A/III/1        Tartós részesedések (11&gt;=12+13)</t>
  </si>
  <si>
    <t>12</t>
  </si>
  <si>
    <t>A/III/1a        - ebből: tartós részesedések jegybankban</t>
  </si>
  <si>
    <t>13</t>
  </si>
  <si>
    <t>A/III/1b        - ebből: tartós részesedések társulásban</t>
  </si>
  <si>
    <t>14</t>
  </si>
  <si>
    <t>A/III/2        Tartós hitelviszonyt megtestesítő értékpapírok (14&gt;=15+16)</t>
  </si>
  <si>
    <t>15</t>
  </si>
  <si>
    <t>A/III/2a        - ebből: államkötvények</t>
  </si>
  <si>
    <t>16</t>
  </si>
  <si>
    <t>A/III/2b        - ebből: helyi önkormányzatok kötvényei</t>
  </si>
  <si>
    <t>17</t>
  </si>
  <si>
    <t>A/III/3        Befektetett pénzügyi eszközök értékhelyesbítése</t>
  </si>
  <si>
    <t>18</t>
  </si>
  <si>
    <t>A/III        Befektetett pénzügyi eszközök (=A/III/1+A/III/2+A/III/3) (18=11+14+17)</t>
  </si>
  <si>
    <t>19</t>
  </si>
  <si>
    <t>A/IV/1        Koncesszióba, vagyonkezelésbe adott eszközök</t>
  </si>
  <si>
    <t>20</t>
  </si>
  <si>
    <t>A/IV/2        Koncesszióba, vagyonkezelésbe adott eszközök értékhelyesbítése</t>
  </si>
  <si>
    <t>21</t>
  </si>
  <si>
    <t>A/IV        Koncesszióba, vagyonkezelésbe adott eszközök (=A/IV/1+A/IV/2) (21=19+20)</t>
  </si>
  <si>
    <t>22</t>
  </si>
  <si>
    <t>A)        NEMZETI VAGYONBA TARTOZÓ BEFEKTETETT ESZKÖZÖK (=A/I+A/II+A/III+A/IV) (22=04+10+18+21)</t>
  </si>
  <si>
    <t>23</t>
  </si>
  <si>
    <t>B/I/1        Vásárolt készletek</t>
  </si>
  <si>
    <t>24</t>
  </si>
  <si>
    <t>B/I/2        Átsorolt, követelés fejében átvett készletek</t>
  </si>
  <si>
    <t>25</t>
  </si>
  <si>
    <t>B/I/3        Egyéb készletek</t>
  </si>
  <si>
    <t>26</t>
  </si>
  <si>
    <t>B/I/4        Befejezetlen termelés, félkész termékek, késztermékek</t>
  </si>
  <si>
    <t>27</t>
  </si>
  <si>
    <t>B/I/5        Növendék-, hízó és egyéb állatok</t>
  </si>
  <si>
    <t>28</t>
  </si>
  <si>
    <t>B/I        Készletek (=B/I/1+…+B/I/5) (28=23+...+27)</t>
  </si>
  <si>
    <t>29</t>
  </si>
  <si>
    <t>B/II/1        Nem tartós részesedések</t>
  </si>
  <si>
    <t>30</t>
  </si>
  <si>
    <t>B/II/2        Forgatási célú hitelviszonyt megtestesítő értékpapírok (30&gt;=31+...+35)</t>
  </si>
  <si>
    <t>31</t>
  </si>
  <si>
    <t>B/II/2a        - ebből: kárpótlási jegyek</t>
  </si>
  <si>
    <t>32</t>
  </si>
  <si>
    <t>B/II/2b        - ebből: kincstárjegyek</t>
  </si>
  <si>
    <t>33</t>
  </si>
  <si>
    <t>B/II/2c        - ebből: államkötvények</t>
  </si>
  <si>
    <t>34</t>
  </si>
  <si>
    <t>B/II/2d        - ebből: helyi önkormányzatok kötvényei</t>
  </si>
  <si>
    <t>35</t>
  </si>
  <si>
    <t>B/II/2e        - ebből: befektetési jegyek</t>
  </si>
  <si>
    <t>36</t>
  </si>
  <si>
    <t>B/II        Értékpapírok (=B/II/1+B/II/2) (36=29+30)</t>
  </si>
  <si>
    <t>37</t>
  </si>
  <si>
    <t>B)        NEMZETI VAGYONBA TARTOZÓ FORGÓESZKÖZÖK (= B/I+B/II) (37=28+36)</t>
  </si>
  <si>
    <t>38</t>
  </si>
  <si>
    <t>C/I        Hosszú lejáratú betétek</t>
  </si>
  <si>
    <t>39</t>
  </si>
  <si>
    <t>C/II        Pénztárak, csekkek, betétkönyvek</t>
  </si>
  <si>
    <t>40</t>
  </si>
  <si>
    <t>C/III        Forintszámlák</t>
  </si>
  <si>
    <t>41</t>
  </si>
  <si>
    <t>C/IV        Devizaszámlák</t>
  </si>
  <si>
    <t>42</t>
  </si>
  <si>
    <t>C/V        Idegen pénzeszközök</t>
  </si>
  <si>
    <t>43</t>
  </si>
  <si>
    <t>C)        PÉNZESZKÖZÖK (=C/I+…+C/V) (43=38+...+42)</t>
  </si>
  <si>
    <t>44</t>
  </si>
  <si>
    <t>D/I/1        Költségvetési évben esedékes követelések működési célú támogatások bevételeire államháztartáson belülről (44&gt;=45)</t>
  </si>
  <si>
    <t>45</t>
  </si>
  <si>
    <t>D/I/1a        - ebből: költségvetési évben esedékes követelések működési célú visszatérítendő támogatások, kölcsönök visszatérülésére államháztartáson belülről</t>
  </si>
  <si>
    <t>46</t>
  </si>
  <si>
    <t>D/I/2        Költségvetési évben esedékes követelések felhalmozási célú támogatások bevételeire államháztartáson belülről (46&gt;=47)</t>
  </si>
  <si>
    <t>47</t>
  </si>
  <si>
    <t>D/I/2a        - ebből: költségvetési évben esedékes követelések felhalmozási célú visszatérítendő támogatások, kölcsönök visszatérülésére államháztartáson belülről</t>
  </si>
  <si>
    <t>48</t>
  </si>
  <si>
    <t>D/I/3        Költségvetési évben esedékes követelések közhatalmi bevételre</t>
  </si>
  <si>
    <t>49</t>
  </si>
  <si>
    <t>D/I/4        Költségvetési évben esedékes követelések működési bevételre</t>
  </si>
  <si>
    <t>50</t>
  </si>
  <si>
    <t>D/I/5        Költségvetési évben esedékes követelések felhalmozási bevételre</t>
  </si>
  <si>
    <t>51</t>
  </si>
  <si>
    <t>D/I/6        Költségvetési évben esedékes követelések működési célú átvett pénzeszközre (51&gt;=52)</t>
  </si>
  <si>
    <t>52</t>
  </si>
  <si>
    <t>D/I/6a        - ebből: költségvetési évben esedékes követelések működési célú visszatérítendő támogatások, kölcsönök visszatérülésére államháztartáson kívülről</t>
  </si>
  <si>
    <t>53</t>
  </si>
  <si>
    <t>D/I/7        Költségvetési évben esedékes követelések felhalmozási célú átvett pénzeszközre (53&gt;=54)</t>
  </si>
  <si>
    <t>54</t>
  </si>
  <si>
    <t>D/I/7a        - ebből: költségvetési évben esedékes követelések felhalmozási célú visszatérítendő támogatások, kölcsönök visszatérülésére államháztartáson kívülről</t>
  </si>
  <si>
    <t>55</t>
  </si>
  <si>
    <t>D/I/8        Költségvetési évben esedékes követelések finanszírozási bevételekre (55&gt;=56)</t>
  </si>
  <si>
    <t>56</t>
  </si>
  <si>
    <t>D/I/8a        - ebből: költségvetési évben esedékes követelések államháztartáson belüli megelőlegezések törlesztésére</t>
  </si>
  <si>
    <t>57</t>
  </si>
  <si>
    <t>D/I        Költségvetési évben esedékes követelések (=D/I/1+…+D/I/8) (57=44+46+48+...+51+53+55)</t>
  </si>
  <si>
    <t>58</t>
  </si>
  <si>
    <t>D/II/1        Költségvetési évet követően esedékes követelések működési célú támogatások bevételeire államháztartáson belülről (58&gt;=59)</t>
  </si>
  <si>
    <t>59</t>
  </si>
  <si>
    <t>D/II/1a        - ebből: költségvetési évet követően esedékes követelések működési célú visszatérítendő támogatások, kölcsönök visszatérülésére államháztartáson belülről</t>
  </si>
  <si>
    <t>60</t>
  </si>
  <si>
    <t>D/II/2        Költségvetési évet követően esedékes követelések felhalmozási célú támogatások bevételeire államháztartáson belülről (60&gt;=61)</t>
  </si>
  <si>
    <t>61</t>
  </si>
  <si>
    <t>D/II/2a        - ebből: költségvetési évet követően esedékes követelések felhalmozási célú visszatérítendő támogatások, kölcsönök visszatérülésére államháztartáson belülről</t>
  </si>
  <si>
    <t>62</t>
  </si>
  <si>
    <t>D/II/3        Költségvetési évet követően esedékes követelések közhatalmi bevételre</t>
  </si>
  <si>
    <t>63</t>
  </si>
  <si>
    <t>D/II/4        Költségvetési évet követően esedékes követelések működési bevételre</t>
  </si>
  <si>
    <t>64</t>
  </si>
  <si>
    <t>D/II/5        Költségvetési évet követően esedékes követelések felhalmozási bevételre</t>
  </si>
  <si>
    <t>65</t>
  </si>
  <si>
    <t>D/II/6        Költségvetési évet követően esedékes követelések működési célú átvett pénzeszközre (65&gt;=66)</t>
  </si>
  <si>
    <t>66</t>
  </si>
  <si>
    <t>D/II/6a        - ebből: költségvetési évet követően esedékes követelések működési célú visszatérítendő támogatások, kölcsönök visszatérülésére államháztartáson kívülről</t>
  </si>
  <si>
    <t>67</t>
  </si>
  <si>
    <t>D/II/7        Költségvetési évet követően esedékes követelések felhalmozási célú átvett pénzeszközre (67&gt;=68)</t>
  </si>
  <si>
    <t>68</t>
  </si>
  <si>
    <t>D/II/7a        - ebből: költségvetési évet követően esedékes követelések felhalmozási célú visszatérítendő támogatások, kölcsönök visszatérülésére államháztartáson kívülről</t>
  </si>
  <si>
    <t>69</t>
  </si>
  <si>
    <t>D/II/8        Költségvetési évet követően esedékes követelések finanszírozási bevételekre (69&gt;=70)</t>
  </si>
  <si>
    <t>70</t>
  </si>
  <si>
    <t>D/II8a        - ebből: költségvetési évet követően esedékes követelések államháztartáson belüli megelőlegezések törlesztésére</t>
  </si>
  <si>
    <t>71</t>
  </si>
  <si>
    <t>D/II        Költségvetési évet követően esedékes követelések (=D/II/1+…+D/II/8) (71=58+60+62+...+65+67+69)</t>
  </si>
  <si>
    <t>72</t>
  </si>
  <si>
    <t>D/III/1        Adott előlegek (72&gt;=73+...+77)</t>
  </si>
  <si>
    <t>73</t>
  </si>
  <si>
    <t>D/III/1a        - ebből: immateriális javakra adott előlegek</t>
  </si>
  <si>
    <t>74</t>
  </si>
  <si>
    <t>D/III/1b        - ebből: beruházásokra adott előlegek</t>
  </si>
  <si>
    <t>75</t>
  </si>
  <si>
    <t>D/III/1c        - ebből: készletekre adott előlegek</t>
  </si>
  <si>
    <t>76</t>
  </si>
  <si>
    <t>D/III/1d        - ebből: foglalkoztatottaknak adott előlegek</t>
  </si>
  <si>
    <t>77</t>
  </si>
  <si>
    <t>D/III/1e        - ebből: egyéb adott előlegek</t>
  </si>
  <si>
    <t>78</t>
  </si>
  <si>
    <t>D/III/2        Továbbadási célból folyósított támogatások, ellátások elszámolása</t>
  </si>
  <si>
    <t>79</t>
  </si>
  <si>
    <t>D/III/3        Más által beszedett bevételek elszámolása</t>
  </si>
  <si>
    <t>80</t>
  </si>
  <si>
    <t>D/III/4        Forgótőke elszámolása</t>
  </si>
  <si>
    <t>81</t>
  </si>
  <si>
    <t>D/III/5        Vagyonkezelésbe adott eszközökkel kapcsolatos visszapótlási követelés elszámolása</t>
  </si>
  <si>
    <t>82</t>
  </si>
  <si>
    <t>D/III/6        Nem társadalombiztosítás pénzügyi alapjait terhelő kifizetett ellátások megtérítésének elszámolása</t>
  </si>
  <si>
    <t>83</t>
  </si>
  <si>
    <t>D/III/7        Folyósított, megelőlegezett társadalombiztosítási és családtámogatási ellátások elszámolása</t>
  </si>
  <si>
    <t>84</t>
  </si>
  <si>
    <t>D/III        Követelés jellegű sajátos elszámolások (=D/III/1+…+D/III/7) (84=72+78+...+83)</t>
  </si>
  <si>
    <t>85</t>
  </si>
  <si>
    <t>D)        KÖVETELÉSEK (=D/I+D/II+D/III) (85=57+71+84)</t>
  </si>
  <si>
    <t>86</t>
  </si>
  <si>
    <t>E)        EGYÉB SAJÁTOS ESZKÖZOLDALI ELSZÁMOLÁSOK</t>
  </si>
  <si>
    <t>87</t>
  </si>
  <si>
    <t>F/1        Eredményszemléletű bevételek aktív időbeli elhatárolása</t>
  </si>
  <si>
    <t>88</t>
  </si>
  <si>
    <t>F/2        Költségek, ráfordítások aktív időbeli elhatárolása</t>
  </si>
  <si>
    <t>89</t>
  </si>
  <si>
    <t>F/3        Halasztott ráfordítások</t>
  </si>
  <si>
    <t>90</t>
  </si>
  <si>
    <t>F)        AKTÍV IDŐBELI ELHATÁROLÁSOK (=F/1+F/2+F/3) (90=87+...+89)</t>
  </si>
  <si>
    <t>91</t>
  </si>
  <si>
    <t>ESZKÖZÖK ÖSSZESEN (=A+B+C+D+E+F) (91=22+37+43+85+86+90)</t>
  </si>
  <si>
    <t>FORRÁSOK</t>
  </si>
  <si>
    <t>92</t>
  </si>
  <si>
    <t>G/I        Nemzeti vagyon induláskori értéke</t>
  </si>
  <si>
    <t>93</t>
  </si>
  <si>
    <t>G/II        Nemzeti vagyon változásai</t>
  </si>
  <si>
    <t>94</t>
  </si>
  <si>
    <t>G/III        Egyéb eszközök induláskori értéke és változásai</t>
  </si>
  <si>
    <t>95</t>
  </si>
  <si>
    <t>G/IV        Felhalmozott eredmény</t>
  </si>
  <si>
    <t>96</t>
  </si>
  <si>
    <t>G/V        Eszközök értékhelyesbítésének forrása</t>
  </si>
  <si>
    <t>97</t>
  </si>
  <si>
    <t>G/VI        Mérleg szerinti eredmény</t>
  </si>
  <si>
    <t>98</t>
  </si>
  <si>
    <t>G)        SAJÁT TŐKE (=G/I+…+G/VI) (98=92+...+97)</t>
  </si>
  <si>
    <t>99</t>
  </si>
  <si>
    <t>H/I/1        Költségvetési évben esedékes kötelezettségek személyi juttatásokra</t>
  </si>
  <si>
    <t>100</t>
  </si>
  <si>
    <t>H/I/2        Költségvetési évben esedékes kötelezettségek munkaadókat terhelő járulékokra és szociális hozzájárulási adóra</t>
  </si>
  <si>
    <t>101</t>
  </si>
  <si>
    <t>H/I/3        Költségvetési évben esedékes kötelezettségek dologi kiadásokra</t>
  </si>
  <si>
    <t>102</t>
  </si>
  <si>
    <t>H/I/4        Költségvetési évben esedékes kötelezettségek ellátottak pénzbeli juttatásaira</t>
  </si>
  <si>
    <t>103</t>
  </si>
  <si>
    <t>H/I/5        Költségvetési évben esedékes kötelezettségek egyéb működési célú kiadásokra (103&gt;=104)</t>
  </si>
  <si>
    <t>104</t>
  </si>
  <si>
    <t>H/I/5a        - ebből: költségvetési évben esedékes kötelezettségek működési célú visszatérítendő támogatások, kölcsönök törlesztésére államháztartáson belülre</t>
  </si>
  <si>
    <t>105</t>
  </si>
  <si>
    <t>H/I/6        Költségvetési évben esedékes kötelezettségek beruházásokra</t>
  </si>
  <si>
    <t>106</t>
  </si>
  <si>
    <t>H/I/7        Költségvetési évben esedékes kötelezettségek felújításokra</t>
  </si>
  <si>
    <t>107</t>
  </si>
  <si>
    <t>H/I/8        Költségvetési évben esedékes kötelezettségek egyéb felhalmozási célú kiadásokra (107&gt;=108)</t>
  </si>
  <si>
    <t>108</t>
  </si>
  <si>
    <t>H/I/8a        - ebből: költségvetési évben esedékes kötelezettségek felhalmozási célú visszatérítendő támogatások, kölcsönök törlesztésére államháztartáson belülre</t>
  </si>
  <si>
    <t>109</t>
  </si>
  <si>
    <t>H/I/9        Költségvetési évben esedékes kötelezettségek finanszírozási kiadásokra (109&gt;=110+...+117)</t>
  </si>
  <si>
    <t>110</t>
  </si>
  <si>
    <t>H/I/9a        - ebből: költségvetési évben esedékes kötelezettségek államháztartáson belüli megelőlegezések visszafizetésére</t>
  </si>
  <si>
    <t>111</t>
  </si>
  <si>
    <t>H/I/9b        - ebből: költségvetési évben esedékes kötelezettségek hosszú lejáratú hitelek, kölcsönök törlesztésére</t>
  </si>
  <si>
    <t>112</t>
  </si>
  <si>
    <t>H/I/9c        - ebből: költségvetési évben esedékes kötelezettségek likviditási célú hitelek, kölcsönök törlesztésére pénzügyi vállalkozásoknak</t>
  </si>
  <si>
    <t>113</t>
  </si>
  <si>
    <t>H/I/9d        - ebből: költségvetési évben esedékes kötelezettségek rövid lejáratú hitelek, kölcsönök törlesztésére</t>
  </si>
  <si>
    <t>114</t>
  </si>
  <si>
    <t>H/I/9e        - ebből: költségvetési évben esedékes kötelezettségek külföldi hitelek, kölcsönök törlesztésére</t>
  </si>
  <si>
    <t>115</t>
  </si>
  <si>
    <t>H/I/9f        - ebből: költségvetési évben esedékes kötelezettségek forgatási célú belföldi értékpapírok beváltására</t>
  </si>
  <si>
    <t>116</t>
  </si>
  <si>
    <t>H/I/9g        - ebből: költségvetési évben esedékes kötelezettségek befektetési célú belföldi értékpapírok beváltására</t>
  </si>
  <si>
    <t>117</t>
  </si>
  <si>
    <t>H/I/9h        - ebből: költségvetési évben esedékes kötelezettségek külföldi értékpapírok beváltására</t>
  </si>
  <si>
    <t>118</t>
  </si>
  <si>
    <t>H/I        Költségvetési évben esedékes kötelezettségek (=H/I/1+…H/I/9) (118=99+...+103+105+...+107+109)</t>
  </si>
  <si>
    <t>119</t>
  </si>
  <si>
    <t>H/II/1        Költségvetési évet követően esedékes kötelezettségek személyi juttatásokra</t>
  </si>
  <si>
    <t>120</t>
  </si>
  <si>
    <t>H/II/2        Költségvetési évet követően esedékes kötelezettségek munkaadókat terhelő járulékokra és szociális hozzájárulási adóra</t>
  </si>
  <si>
    <t>121</t>
  </si>
  <si>
    <t>H/II/3        Költségvetési évet követően esedékes kötelezettségek dologi kiadásokra</t>
  </si>
  <si>
    <t>122</t>
  </si>
  <si>
    <t>H/II/4        Költségvetési évet követően esedékes kötelezettségek ellátottak pénzbeli juttatásaira</t>
  </si>
  <si>
    <t>123</t>
  </si>
  <si>
    <t>H/II/5        Költségvetési évet követően esedékes kötelezettségek egyéb működési célú kiadásokra (123&gt;=124)</t>
  </si>
  <si>
    <t>124</t>
  </si>
  <si>
    <t>H/II/5a        - ebből: költségvetési évet követően esedékes kötelezettségek működési célú visszatérítendő támogatások, kölcsönök törlesztésére államháztartáson belülre</t>
  </si>
  <si>
    <t>125</t>
  </si>
  <si>
    <t>H/II/6        Költségvetési évet követően esedékes kötelezettségek beruházásokra</t>
  </si>
  <si>
    <t>126</t>
  </si>
  <si>
    <t>H/II/7        Költségvetési évet követően esedékes kötelezettségek felújításokra</t>
  </si>
  <si>
    <t>127</t>
  </si>
  <si>
    <t>H/II/8        Költségvetési évet követően esedékes kötelezettségek egyéb felhalmozási célú kiadásokra (127&gt;=128)</t>
  </si>
  <si>
    <t>128</t>
  </si>
  <si>
    <t>H/II/8a        - ebből: költségvetési évet követően esedékes kötelezettségek felhalmozási célú visszatérítendő támogatások, kölcsönök törlesztésére államháztartáson belülre</t>
  </si>
  <si>
    <t>129</t>
  </si>
  <si>
    <t>H/II/9        Költségvetési évet követően esedékes kötelezettségek finanszírozási kiadásokra (129&gt;=130+...+137)</t>
  </si>
  <si>
    <t>130</t>
  </si>
  <si>
    <t>H/II/9a        - ebből: költségvetési évet követően esedékes kötelezettségek államháztartáson belüli megelőlegezések visszafizetésére</t>
  </si>
  <si>
    <t>131</t>
  </si>
  <si>
    <t>H/II/9b        - ebből: költségvetési évet követően esedékes kötelezettségek hosszú lejáratú hitelek, kölcsönök törlesztésére</t>
  </si>
  <si>
    <t>132</t>
  </si>
  <si>
    <t>H/II/9c        - ebből: költségvetési évet követően esedékes kötelezettségek likviditási célú hitelek, kölcsönök törlesztésére pénzügyi vállalkozásoknak</t>
  </si>
  <si>
    <t>133</t>
  </si>
  <si>
    <t>H/II/9d        - ebből: költségvetési évet követően esedékes kötelezettségek rövid lejáratú hitelek, kölcsönök törlesztésére</t>
  </si>
  <si>
    <t>134</t>
  </si>
  <si>
    <t>H/II/9e        - ebből: költségvetési évet követően esedékes kötelezettségek külföldi hitelek, kölcsönök törlesztésére</t>
  </si>
  <si>
    <t>135</t>
  </si>
  <si>
    <t>H/II/9f        - ebből: költségvetési évet követően esedékes kötelezettségek forgatási célú belföldi értékpapírok beváltására</t>
  </si>
  <si>
    <t>136</t>
  </si>
  <si>
    <t>H/II/9g        - ebből: költségvetési évet követően esedékes kötelezettségek befektetési célú belföldi értékpapírok beváltására</t>
  </si>
  <si>
    <t>137</t>
  </si>
  <si>
    <t>H/II/9h        - ebből: költségvetési évévet követően esedékes kötelezettségek külföldi értékpapírok beváltására</t>
  </si>
  <si>
    <t>138</t>
  </si>
  <si>
    <t>H/II        Költségvetési évet követően esedékes kötelezettségek (=H/II/1+…H/II/9) (138=119+...+123+125+...+127+129)</t>
  </si>
  <si>
    <t>139</t>
  </si>
  <si>
    <t>H/III/1        Kapott előlegek</t>
  </si>
  <si>
    <t>140</t>
  </si>
  <si>
    <t>H/III/2        Továbbadási célból folyósított támogatások, ellátások elszámolása</t>
  </si>
  <si>
    <t>141</t>
  </si>
  <si>
    <t>H/III/3        Más szervezetet megillető bevételek elszámolása</t>
  </si>
  <si>
    <t>142</t>
  </si>
  <si>
    <t>H/III/4        Forgótőke elszámolása (Kincstár)</t>
  </si>
  <si>
    <t>143</t>
  </si>
  <si>
    <t>H/III/5        Vagyonkezelésbe vett eszközökkel kapcsolatos visszapótlási kötelezettség elszámolása</t>
  </si>
  <si>
    <t>144</t>
  </si>
  <si>
    <t>H/III/6        Nem társadalombiztosítás pénzügyi alapjait terhelő kifizetett ellátások megtérítésének elszámolása</t>
  </si>
  <si>
    <t>145</t>
  </si>
  <si>
    <t>H/III/7        Munkáltató által korengedményes nyugdíjhoz megfizetett hozzájárulás elszámolása</t>
  </si>
  <si>
    <t>H/III        Kötelezettség jellegű sajátos elszámolások (=H)/III/1+…+H)/III/7) (146=139+...+145)</t>
  </si>
  <si>
    <t>147</t>
  </si>
  <si>
    <t>H)        KÖTELEZETTSÉGEK (=H/I+H/II+H/III) (=118+138+146)</t>
  </si>
  <si>
    <t>148</t>
  </si>
  <si>
    <t>I)        EGYÉB SAJÁTOS FORRÁSOLDALI ELSZÁMOLÁSOK</t>
  </si>
  <si>
    <t>149</t>
  </si>
  <si>
    <t>J)        KINCSTÁRI SZÁMLAVEZETÉSSEL KAPCSOLATOS ELSZÁMOLÁSOK</t>
  </si>
  <si>
    <t>150</t>
  </si>
  <si>
    <t>K/1        Eredményszemléletű bevételek passzív időbeli elhatárolása</t>
  </si>
  <si>
    <t>151</t>
  </si>
  <si>
    <t>K/2        Költségek, ráfordítások passzív időbeli elhatárolása</t>
  </si>
  <si>
    <t>152</t>
  </si>
  <si>
    <t>K/3        Halasztott eredményszemléletű bevételek</t>
  </si>
  <si>
    <t>153</t>
  </si>
  <si>
    <t>K)        PASSZÍV IDŐBELI ELHATÁROLÁSOK (=K/1+K/2+K/3) (153=150+...+152)</t>
  </si>
  <si>
    <t>154</t>
  </si>
  <si>
    <t>FORRÁSOK ÖSSZESEN (=G+H+I+J+K) (=154=98+147+...+149+153)</t>
  </si>
  <si>
    <t>Forgalom-képtelen törzsvagyon</t>
  </si>
  <si>
    <t>Nemzetgaz-dasági szemp. kiemelt jelentőségű törzsvagyon</t>
  </si>
  <si>
    <t>Korlátozottan forgalomké-pes vagyon</t>
  </si>
  <si>
    <t>Üzleti vagyon</t>
  </si>
  <si>
    <t>Használatban lévő 0-ra leírt eszközök</t>
  </si>
  <si>
    <t>Nettó értéke</t>
  </si>
  <si>
    <t>A/I./1</t>
  </si>
  <si>
    <t>Vagyoni értékű jogok</t>
  </si>
  <si>
    <t>A/I/2.</t>
  </si>
  <si>
    <t>Szellemi termékek</t>
  </si>
  <si>
    <t>A/II/1.</t>
  </si>
  <si>
    <t>Ingatlanok és kapcsolódó vagyoni értékű jogok</t>
  </si>
  <si>
    <t>A/II/2.</t>
  </si>
  <si>
    <t>Gépek, berendezések, felszerelések, járművek</t>
  </si>
  <si>
    <t>A/II/3.</t>
  </si>
  <si>
    <t>Tenyészállatok</t>
  </si>
  <si>
    <t>A/II/4.</t>
  </si>
  <si>
    <t>Beruházások, felújítások</t>
  </si>
  <si>
    <t>A/II/5.</t>
  </si>
  <si>
    <t>Tárgyi eszközök értékhelyesbítése</t>
  </si>
  <si>
    <t>A/II.</t>
  </si>
  <si>
    <t xml:space="preserve">Tárgyi eszközök  </t>
  </si>
  <si>
    <t>A/III/1.</t>
  </si>
  <si>
    <t>Tartós részesedések</t>
  </si>
  <si>
    <t>A/III/2.</t>
  </si>
  <si>
    <t>Tartós hitelviszonyt megtestesítő értékpapírok</t>
  </si>
  <si>
    <t>A/III/3.</t>
  </si>
  <si>
    <t>Befektetett pénzügyi eszközök értékhelyesbítése</t>
  </si>
  <si>
    <t>A/III.</t>
  </si>
  <si>
    <t xml:space="preserve">Befektetett pénzügyi eszközök  </t>
  </si>
  <si>
    <t>A/IV.</t>
  </si>
  <si>
    <t>Koncesszióba, vagyonkezelésbe adott eszközök</t>
  </si>
  <si>
    <t>A)</t>
  </si>
  <si>
    <t>NEMZETI VAGYONBA TARTOZÓ BEFEKTETETT ESZKÖZÖK</t>
  </si>
  <si>
    <t>B/I.</t>
  </si>
  <si>
    <t>Készletek</t>
  </si>
  <si>
    <t>B/II.</t>
  </si>
  <si>
    <t>Értékpapírok</t>
  </si>
  <si>
    <t>B)</t>
  </si>
  <si>
    <t>NEMZETI VAGYONBA TARTOZÓ FORGÓESZKÖZÖK</t>
  </si>
  <si>
    <t>C/I.</t>
  </si>
  <si>
    <t>Hosszú lejáratú betétek</t>
  </si>
  <si>
    <t>C/II.</t>
  </si>
  <si>
    <t>Pénztárak, csekkek, betétkönyvek</t>
  </si>
  <si>
    <t>C/III.</t>
  </si>
  <si>
    <t>Forintszámlák</t>
  </si>
  <si>
    <t>C/IV.</t>
  </si>
  <si>
    <t>Devizaszámlák</t>
  </si>
  <si>
    <t>C/V.</t>
  </si>
  <si>
    <t>Idegen pénzeszközök</t>
  </si>
  <si>
    <t>C)</t>
  </si>
  <si>
    <t>PÉNZESZKÖZÖK</t>
  </si>
  <si>
    <t>D/I.</t>
  </si>
  <si>
    <t>Költségvetési évben esedékes követelések</t>
  </si>
  <si>
    <t>D/II.</t>
  </si>
  <si>
    <t>Költségvetési évet követően esedékes követelések</t>
  </si>
  <si>
    <t>D/III.</t>
  </si>
  <si>
    <t>Követelés jellegű sajátos elszámolások</t>
  </si>
  <si>
    <t>D)</t>
  </si>
  <si>
    <t>KÖVETELÉSEK</t>
  </si>
  <si>
    <t>E)</t>
  </si>
  <si>
    <t>EGYÉB SAJÁTOS ESZKÖZOLDALI ELSZÁMOLÁSOK</t>
  </si>
  <si>
    <t>F)</t>
  </si>
  <si>
    <t>AKTÍV IDŐBELI ELHATÁROLÁSOK</t>
  </si>
  <si>
    <t>ESZKÖZÖK ÖSSZESEN</t>
  </si>
  <si>
    <t>A könyvviteli mérlegben értékkel szereplő források:</t>
  </si>
  <si>
    <t>Állományi érték</t>
  </si>
  <si>
    <t xml:space="preserve">G/I. </t>
  </si>
  <si>
    <t>Nemzeti vagyon induláskori értéke</t>
  </si>
  <si>
    <t>G/II.</t>
  </si>
  <si>
    <t>Nemzeti vagyon változásai</t>
  </si>
  <si>
    <t>G/III.</t>
  </si>
  <si>
    <t>Egyéb eszközök induláskori értéke és változásai</t>
  </si>
  <si>
    <t>G/IV.</t>
  </si>
  <si>
    <t>Felhalmozott eredmény</t>
  </si>
  <si>
    <t>G/V.</t>
  </si>
  <si>
    <t>Eszközök értékhelyesbítésének forrása</t>
  </si>
  <si>
    <t>G/VI.</t>
  </si>
  <si>
    <t>Mérleg szerinti eredmény</t>
  </si>
  <si>
    <t>G)</t>
  </si>
  <si>
    <t>SAJÁT TŐKE</t>
  </si>
  <si>
    <t>H/I.</t>
  </si>
  <si>
    <t>Költségvetési évben esedékes kötelezettségek</t>
  </si>
  <si>
    <t>H/II.</t>
  </si>
  <si>
    <t>Költségvetési évet követően esedékes kötelezettségek</t>
  </si>
  <si>
    <t xml:space="preserve">H/III. </t>
  </si>
  <si>
    <t>Kötelezettség jellegű sajátos elszámolások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</si>
  <si>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</si>
  <si>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</si>
  <si>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</si>
  <si>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</si>
  <si>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</si>
  <si>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</si>
  <si>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</si>
  <si>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</si>
  <si>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 ÖSSZESEN</t>
  </si>
  <si>
    <t>Az Önkormányzat mérlegében értékkel nem szereplő ingatlanhoz kapcsolódó vagyoni értékű jogok</t>
  </si>
  <si>
    <t>Egyéb, mérlegben nem szereplő, nyilvántartott eszköz és kötelezettség állomány:</t>
  </si>
  <si>
    <t>Befektetett eszközök</t>
  </si>
  <si>
    <t>011</t>
  </si>
  <si>
    <t>Államháztartáson belüli vagyonkezelésbe adott eszközök</t>
  </si>
  <si>
    <t>012</t>
  </si>
  <si>
    <t>Bérbe vett befektetett eszközök</t>
  </si>
  <si>
    <t>013</t>
  </si>
  <si>
    <t>Letétbe, bizományba, üzemeltetésre átvett befektetett eszközök</t>
  </si>
  <si>
    <t>014</t>
  </si>
  <si>
    <t>PPP konstrukcióban használt befektetett eszközök</t>
  </si>
  <si>
    <t xml:space="preserve">02 </t>
  </si>
  <si>
    <t>021</t>
  </si>
  <si>
    <t>Bérbe vett készletek</t>
  </si>
  <si>
    <t>022</t>
  </si>
  <si>
    <t>Letétbe, bizmányba átvett készletek</t>
  </si>
  <si>
    <t>023</t>
  </si>
  <si>
    <t>Intervenciós készletek</t>
  </si>
  <si>
    <t>Függő és biztos jövőbeni követelések</t>
  </si>
  <si>
    <t>Függő kötelezettségek</t>
  </si>
  <si>
    <t>S. sz.</t>
  </si>
  <si>
    <t>Használó intézmény</t>
  </si>
  <si>
    <t>Helyrajzi</t>
  </si>
  <si>
    <t>Ingatlan jellege</t>
  </si>
  <si>
    <t>Terület</t>
  </si>
  <si>
    <t>T</t>
  </si>
  <si>
    <t>Bruttó érték</t>
  </si>
  <si>
    <t>Értékcsökkenés</t>
  </si>
  <si>
    <t>Nettó érték</t>
  </si>
  <si>
    <t>Település, cím</t>
  </si>
  <si>
    <t>szám</t>
  </si>
  <si>
    <t>Ha-m2</t>
  </si>
  <si>
    <t>M</t>
  </si>
  <si>
    <t>MK</t>
  </si>
  <si>
    <t>Pécs, Papnövelde u. 5.</t>
  </si>
  <si>
    <t>összesen:</t>
  </si>
  <si>
    <t>MK= műemléki környezet</t>
  </si>
  <si>
    <t>T=természetvédelem alatt</t>
  </si>
  <si>
    <t>M= műemlék</t>
  </si>
  <si>
    <t>Locsolókút Piskó</t>
  </si>
  <si>
    <t>Locsolókút Vajszló</t>
  </si>
  <si>
    <t>Ingatlan Vajszló</t>
  </si>
  <si>
    <t>Forgalomképtelen vagyon összesen:</t>
  </si>
  <si>
    <t>Korlátozottan forgalomképes vagyon összesen:</t>
  </si>
  <si>
    <t>Forgalomképes vagyon összesen:</t>
  </si>
  <si>
    <t>Mérleg</t>
  </si>
  <si>
    <t>Részesedések megnevezése</t>
  </si>
  <si>
    <t>Mérleg szerinti érték</t>
  </si>
  <si>
    <t>Névérték</t>
  </si>
  <si>
    <t>Részesedés aránya %-ban</t>
  </si>
  <si>
    <t>Baranya Megyei Fejlesztési Ügynökség Kft</t>
  </si>
  <si>
    <t>Baranya Megyei Turizmusfejlesztési Ügynökség</t>
  </si>
  <si>
    <t>Pénzeszközök változása és pénzmaradvány kimutatás</t>
  </si>
  <si>
    <t>Pénzeszközök változása</t>
  </si>
  <si>
    <t>Bevételek</t>
  </si>
  <si>
    <t>Sajátos elszámolások tárgyévi forgalma</t>
  </si>
  <si>
    <t>Pénzmaradvány kimutatás</t>
  </si>
  <si>
    <t>Alaptevékenység bevételei</t>
  </si>
  <si>
    <t>Alaptevékenység kiadásai</t>
  </si>
  <si>
    <t>Finanszírozási bevételek</t>
  </si>
  <si>
    <t>Finanszírozási kiadások</t>
  </si>
  <si>
    <t>Alaptevékenység maradványa</t>
  </si>
  <si>
    <t>Baranya Megyei Önkormányzati Hivatal</t>
  </si>
  <si>
    <t>TOP-3.2.1-16_Berkesd</t>
  </si>
  <si>
    <t xml:space="preserve">Elnöki keret </t>
  </si>
  <si>
    <t>Kft. támogatása</t>
  </si>
  <si>
    <t>Nemzetközi pályázatok 5% saját forrása</t>
  </si>
  <si>
    <t>Eredeti előirányzat Hivatal</t>
  </si>
  <si>
    <t>Módosított előirányzt V.</t>
  </si>
  <si>
    <t>EMET</t>
  </si>
  <si>
    <t>Módosított előirányzat IV.</t>
  </si>
  <si>
    <t>Módosított előirányzat V.</t>
  </si>
  <si>
    <t>TOP-1.1.1-16-BA1-2017-00007_Szentlőrinc</t>
  </si>
  <si>
    <t>TOP-4.2.1-16-BA1-2017-00004_Szentlőrinc</t>
  </si>
  <si>
    <t>TOP-1.4.1-16-BA1-2017-00010_Szentlőrinc</t>
  </si>
  <si>
    <t>TOP-2.1.2-16-Szentlőrinc_Zöld város</t>
  </si>
  <si>
    <t>TOP-3.2.1-16-Szentlőrinc_energetika korszerűsítés</t>
  </si>
  <si>
    <t>TOP-3.1.1-16 Szigetvár 67. számú főút körforgalom</t>
  </si>
  <si>
    <t>TOP-3.1.1-16 Szigetvár 6. számú főút körforgalom</t>
  </si>
  <si>
    <t>TOP-4.1.1-16-BA1-2017-00008 Szigetvár_háziorvosi rendelőintézet</t>
  </si>
  <si>
    <t>TOP-4.2.1-16-BA1-2017- Szigetvár</t>
  </si>
  <si>
    <t>TOP-2.1.2-16-BA1-Szigetvár_Zöld város</t>
  </si>
  <si>
    <t>TOP-1.4.1-16-BA1-2017-00007_Beremend</t>
  </si>
  <si>
    <t>TOP-2.1.3-16-BA1-2017-00012_Villány</t>
  </si>
  <si>
    <t>TOP-2.1.2-16-BA1-2 Villány_ Zöld város</t>
  </si>
  <si>
    <t>TOP-1.4.1-16-BA1-2017-00006_Babarc</t>
  </si>
  <si>
    <t>TOP-4.2.1-16 Majs Idősek Klubja</t>
  </si>
  <si>
    <t>TOP-4.2.1-16-BA1-2017-00014_Vajszló</t>
  </si>
  <si>
    <t>TOP-1.1.3-16-BA1-2017-00001_Vajszló</t>
  </si>
  <si>
    <t>TOP-4.2.1-16-BA1-2017-00015_Pécsvárad</t>
  </si>
  <si>
    <t>TOP-1.4.1-16-BA1-2017-00018_Pécsvárad</t>
  </si>
  <si>
    <t>TOP-2.1.2-16_Pécsvárad-Zöld város</t>
  </si>
  <si>
    <t>TOP-4.3.1-15_ Mágocs- élhetőbb lakókörnyezet</t>
  </si>
  <si>
    <t>TOP-1.2.1-15-BA1-2016-00004 Orfűi Malommúzeum bővítése és víziturisztikai fejlesztések a Pécsi - tó déoi medencéjében</t>
  </si>
  <si>
    <t xml:space="preserve"> TOP-3.2.1-16-BA1-2017_Kölked-Általános iskola energetikai fejlesztése</t>
  </si>
  <si>
    <t>TOP-1.1.3-16-BA1-2017-00006_Sellye</t>
  </si>
  <si>
    <t>TOP-1.4.1-16-BA1-2017-00007_Sellye</t>
  </si>
  <si>
    <t>TOP-2.1.1-16-BA1-2017-00001_Sellye</t>
  </si>
  <si>
    <t>TOP-3.1.1-16-BA1-2017-00010_Sellye</t>
  </si>
  <si>
    <t>TOP-4.2.1-16-BA1-2017-00013_Sellye</t>
  </si>
  <si>
    <t>TOP-2.1.2-16-BA1-2017_Sellye-Zöld város</t>
  </si>
  <si>
    <t>TOP-3.2.1-16-BA1-2017_Sellye-energetikai korszerűsítés</t>
  </si>
  <si>
    <t>TOP-1.2.1-16-BA1-2017-00005_Tésenfa</t>
  </si>
  <si>
    <t>TOP-2.1.3-16-BA1-2017-00014_Hosszúhetény</t>
  </si>
  <si>
    <t>TOP-2.1.3-16-BA1-2017-00009_Bogád</t>
  </si>
  <si>
    <t>TOP-4.2.1-16-BA1-2017-00003_Lánycsók</t>
  </si>
  <si>
    <t>TOP-2.1.3-16_Kémes_vízkárveszély</t>
  </si>
  <si>
    <t>TOP-2.1.3-16-Csebény_árokkialakítás</t>
  </si>
  <si>
    <t>TOP-2.1.3-16-BA1-2017-00001_Abaliget</t>
  </si>
  <si>
    <t>TOP-4.1.1-16-BA1-2017-00005_Magyarszék</t>
  </si>
  <si>
    <t>TOP-1.4.1-16-BA1-2017-00011_Magyarszék</t>
  </si>
  <si>
    <t>TOP-1.4.1-16-BA1-2017-00019_Almamellék</t>
  </si>
  <si>
    <t>TOP-1.2.1-16-BA1-2017-00001_Bicikli_Mecsek-Tenkes</t>
  </si>
  <si>
    <t>TOP-3.2.1-16-BA1-2017 Mecseknádasd_energetikai korszerűsítés</t>
  </si>
  <si>
    <t>TOP-3.2.1-16-BA1-2017 Nagypeterd_energetikai korszerűsítés</t>
  </si>
  <si>
    <t>TOP-4.3.1-15_Sikós -váralja szegregátum rehabilitációja</t>
  </si>
  <si>
    <t>TOP-5.3.1-16_ Komló</t>
  </si>
  <si>
    <t>TOP-5.3.1-16_ Mozsgó</t>
  </si>
  <si>
    <t>TOP-3.2.1-16_ Véménd</t>
  </si>
  <si>
    <t xml:space="preserve"> TOP-5.3.2-17_ Megyei identitás erősítése</t>
  </si>
  <si>
    <t xml:space="preserve"> TOP-3.2.1-16_ Somberek</t>
  </si>
  <si>
    <t xml:space="preserve"> TOP-3.2.1-16_ Nagypall</t>
  </si>
  <si>
    <t xml:space="preserve"> TOP-3.2.1-16_ Martonfa</t>
  </si>
  <si>
    <t xml:space="preserve"> TOP-3.2.1-16_ Komló</t>
  </si>
  <si>
    <t xml:space="preserve"> TOP-1.2.1-16-BA1-2017-00001_Bicikli</t>
  </si>
  <si>
    <t>Módosított előirányzta V.</t>
  </si>
  <si>
    <t>Módosított előirányzat</t>
  </si>
  <si>
    <t>ADOBE HUHR/1901/3.1.1/0102</t>
  </si>
  <si>
    <t>2RegionsZOOSustain HUHR/190/3.1.1/0024</t>
  </si>
  <si>
    <t>Közmunka_2020.</t>
  </si>
  <si>
    <t>2020. évi tartalék pályázat</t>
  </si>
  <si>
    <t>HUNG_2020/6651</t>
  </si>
  <si>
    <t>KAB-KEF-20-0016 DROG</t>
  </si>
  <si>
    <t>Kerékpárutak tervezése AOFK_R/83-1/2020</t>
  </si>
  <si>
    <t xml:space="preserve">TOP-4.1.1-15-BA1-2016-00016 Egészségügyi alapellátás fejlesztése Garé településen </t>
  </si>
  <si>
    <t xml:space="preserve"> TOP-3.2.1-16_ Pécsvárad_energetika</t>
  </si>
  <si>
    <t xml:space="preserve"> TOP-3.2.1-16_ Berkesd_energetika</t>
  </si>
  <si>
    <t xml:space="preserve"> TOP-1.4.1-19_ Kozármisleny_bölcsöde</t>
  </si>
  <si>
    <t xml:space="preserve"> TOP-1.4.1-19_ Szemely_bölcsöde</t>
  </si>
  <si>
    <t xml:space="preserve"> TOP-3.2.1-16_Geresdlak_épületenergetika korszerűsítés</t>
  </si>
  <si>
    <t xml:space="preserve"> TOP-3.2.1-16_Geresdlak_könyvtár energetika korszerűsítés</t>
  </si>
  <si>
    <t xml:space="preserve"> TOP-1.4.1-19_Pellérd bölcsöde</t>
  </si>
  <si>
    <t>TOP-1.4.1-16 Egerág bölcsőde</t>
  </si>
  <si>
    <t>TOP-3.2.1-16 BÓLY iskola energ.</t>
  </si>
  <si>
    <t>Eredeti előirányzt</t>
  </si>
  <si>
    <t>Módosított előirányzt</t>
  </si>
  <si>
    <t>BARANYA MEGYEI ÖNKORMÁNYZAT ÖSSZEVONT MÉRLEGE 2020. DECEMBER 31.</t>
  </si>
  <si>
    <t>Baranya Megyei Önkormányzat 2020. évi vagyonkimutatása</t>
  </si>
  <si>
    <t>Baranya Megyei Önkormányzat törzsvagyon - forgalomképtelen vagyona 2020. december 31-én</t>
  </si>
  <si>
    <t>Baranya Megyei Önkormányzat nemzetgazdasági szempontból kiemelt jelentőségű törzsvagyona 2020. december 31-én</t>
  </si>
  <si>
    <t>Baranya Megyei Önkormányzat törzsvagyon - korlátozottan forgalomképes vagyona 2020. december 31-én</t>
  </si>
  <si>
    <t>Baranya Megyei Önkormányzat egyéb vagyona 2020. december 31-én</t>
  </si>
  <si>
    <t>Baranya Megyei Önkormányzat részesedései 2020. december 31-én</t>
  </si>
  <si>
    <t>A Baranya Megyei Önkormányzat és intézményének 2020. évi összevont költségvetési mérlege</t>
  </si>
  <si>
    <t>A Baranya Megyei Önkormányzat 2020. évi költségvetési mérlege</t>
  </si>
  <si>
    <t>A Baranya Megyei Önkormányzati Hivatal 2020. évi költségvetési mérlege</t>
  </si>
  <si>
    <t>A Baranya Megyei Önkormányzat és intézményének 2020. évi összevont működési költségvetési mérlege</t>
  </si>
  <si>
    <t>A Baranya Megyei Önkormányzat 2020. évi működési költségvetési mérlege</t>
  </si>
  <si>
    <t>A Baranya Megyei Önkormányzat és intézményének 2020. évi összevont felhalmozási költségvetési mérlege</t>
  </si>
  <si>
    <t>A Baranya Megyei Önkormányzat 2020. évi felhalmozási költségvetési mérlege</t>
  </si>
  <si>
    <t>A Baranya Megyei Önkormányzati Hivatal 2020. évi felhalmozási költségvetési mérlege</t>
  </si>
  <si>
    <t>A Baranya Megyei Önkormányzat 2020. évi költségvetési bevételei és kiadásai kötelező feladatok, önként vállalt feladatok, állami (államigazgatási) feladatok szerinti bontásban</t>
  </si>
  <si>
    <t>A Baranya Megyei Önkormányzati Hivatal 2020. évi költségvetési bevételei és kiadásai kötelező feladatok, önként vállalt feladatok, állami (államigazgatási) feladatok szerinti bontásban</t>
  </si>
  <si>
    <t>Baranya Megyei Önkormányzat és intézményének költségvetésében 2020. évben tervezett egyéb működési kiadásai részletezése</t>
  </si>
  <si>
    <t xml:space="preserve">Baranya Megyei Önkormányzat és intézménye 2020. évi felhalmozási kiadásai </t>
  </si>
  <si>
    <t xml:space="preserve">A Baranya Megyei Önkormányzat 2020. évi európai uniós forrásból finanszírozott támogatással megvalósuló programok, projektek bevételei és kiadásai </t>
  </si>
  <si>
    <t xml:space="preserve">A Baranya Megyei Önkormányzat 2020. évi hazai forrásból finanszírozott támogatással megvalósuló programok, projektek bevételei és kiadásai </t>
  </si>
  <si>
    <t xml:space="preserve">A Baranya Megyei Önkormányzati Hivatal 2020. évi európai uniós forrásból finanszírozott támogatással megvalósuló programok, projektek bevételei és kiadásai </t>
  </si>
  <si>
    <t>TOP-1.4.1-19-BA1-2020 Erzsébet minibölcsöde</t>
  </si>
  <si>
    <t>TOP-1.4.1-19-BA1-2020 Egyházasharaszti 2 csoportos bölcsöde</t>
  </si>
  <si>
    <t>TOP-1.4.1-19-BA1-2020 Márok minibölcsöde</t>
  </si>
  <si>
    <t xml:space="preserve">TOP-2.1.3-16-BA1-2020-00019 Magyarsarlós belterületi vízelvezetés </t>
  </si>
  <si>
    <t xml:space="preserve">TOP-2.1.3-16-BA1-2020-00020 Csapadékvíz elvezető rendszer fejlesztése Mánfa község belterületén 2020 </t>
  </si>
  <si>
    <t xml:space="preserve">TOP-2.1.3-16-BA1-2020-00021 Csapadékvíz elvezetés Fazekasbodán </t>
  </si>
  <si>
    <t>TOP-2.1.3-16-BA1-2020-00022 Belterületi vízelvezetés IV. ütem Máza Község Önkormányzata</t>
  </si>
  <si>
    <t xml:space="preserve">TOP-2.1.3-16-BA1-2020-00023 Nagykozár belterület vízelvezetés III. ütem </t>
  </si>
  <si>
    <t xml:space="preserve">TOP-2.1.3-16-BA1-2020-00024 A Völgységi-patak mederrendezése Szászvár </t>
  </si>
  <si>
    <t xml:space="preserve">TOP-2.1.3-16-BA1-2020-00025 Orfű csapadékvíz elvezetési rendszerének fejlesztése </t>
  </si>
  <si>
    <t xml:space="preserve">TOP-2.1.3-16-BA1-2020-00026 Magyaregregy község belterületi csapadékvíz rendezése </t>
  </si>
  <si>
    <t xml:space="preserve">TOP-2.1.3-16-BA1-2020-00027 Romonya, községi belterület csapadékvíz rendezése </t>
  </si>
  <si>
    <t>TOP-2.1.3-16-BA1-2020-00028 Szemelyi vízelvezető-hálózat fejlesztése</t>
  </si>
  <si>
    <t xml:space="preserve">A Baranya Megyei Önkormányzati Hivatal 2020. évi egyéb forrásból finanszírozott támogatással megvalósuló bevételei és kiadásai </t>
  </si>
  <si>
    <t>2020. év</t>
  </si>
  <si>
    <t>Nyitó pénzkészlet 2020.01.01-jén</t>
  </si>
  <si>
    <t>Záró pénzkészlet 2020.12.31-én</t>
  </si>
  <si>
    <t>2020. évi szabad pénzmaradvány</t>
  </si>
  <si>
    <t>1. melléklet a ../2021. (V…..) önkormányzati rendelethez</t>
  </si>
  <si>
    <t>2. melléklet a ../2021. (V…..) önkormányzati rendelethez</t>
  </si>
  <si>
    <t>3. melléklet a…./2021. (V….) önkormányzati rendelethez</t>
  </si>
  <si>
    <t>3/a. melléklet a…./2021. (V….) önkormányzati rendelethez</t>
  </si>
  <si>
    <t>3/b. melléklet a…./2021. (V….) önkormányzati rendelethez</t>
  </si>
  <si>
    <t>4. melléklet a…./2021. (V….) önkormányzati rendelethez</t>
  </si>
  <si>
    <t>4/a. melléklet a…./2021. (V….) önkormányzati rendelethez</t>
  </si>
  <si>
    <t>4/b. melléklet a…./2021. (V….) önkormányzati rendelethez</t>
  </si>
  <si>
    <t>5/b. melléklet a…./2021. (V….) önkormányzati rendelethez</t>
  </si>
  <si>
    <t>5/a. melléklet a…./2021. (V….) önkormányzati rendelethez</t>
  </si>
  <si>
    <t>5. melléklet a…./2021. (V….) önkormányzati rendelethez</t>
  </si>
  <si>
    <t>6. melléklet a .../2021. (V   ) önkormányzati rendelethez</t>
  </si>
  <si>
    <t>7. melléklet a .../2021. (V…..) önkormányzati rendelethez</t>
  </si>
  <si>
    <t>8. melléklet a …./2021. (V…..) önkormányzati rendelethez</t>
  </si>
  <si>
    <t>9. melléklet a…. /2021. (V..) önkormányzati rendelethez</t>
  </si>
  <si>
    <t>10. melléklet a …./2021. (V…...) önkormányzati rendelethez</t>
  </si>
  <si>
    <t>12. melléklet a .../2021. (V…...) önkormányzati rendelethez</t>
  </si>
  <si>
    <t>14. melléklet a …/2021. (V…) önkormányzati rendelethez</t>
  </si>
  <si>
    <t>A Baranya Megyei Önkormányzati Hivatal 2020. évi működési költségvetési mérlege</t>
  </si>
  <si>
    <t>Kitűntető díjak 3 db</t>
  </si>
  <si>
    <t>Baranya Megyei Turisztikai Kft. támogatása</t>
  </si>
  <si>
    <t>Duna projekt társfin. Visszafizetése</t>
  </si>
  <si>
    <t>I-DARE projekt társfin.visszafizetése</t>
  </si>
  <si>
    <t>ISD UNI projekt társfin.visszafizetése</t>
  </si>
  <si>
    <t>Visszafizetési kötelezettség</t>
  </si>
  <si>
    <t>TOP-1.4.1-15 Bóly</t>
  </si>
  <si>
    <t>TOP-1.4.1-16 Pécsvárad</t>
  </si>
  <si>
    <t>TOP-2.1.3-16 Bogád</t>
  </si>
  <si>
    <t xml:space="preserve">TOP-2.1.2-16 Siklós </t>
  </si>
  <si>
    <t>TOP-2.1.2-16 Kozármisleny</t>
  </si>
  <si>
    <t>TOP-3.2.1-16_ Somberek</t>
  </si>
  <si>
    <t>TOP-2.1.3-16_ Csebény</t>
  </si>
  <si>
    <t>TOP-1.4.1-16_ Beremend</t>
  </si>
  <si>
    <t>TOP-2.1.3-16_ Kölked</t>
  </si>
  <si>
    <t>TOP-5.2.1-15_ Mágocs</t>
  </si>
  <si>
    <t>TOP-4.1.1-15_ Nagykozár</t>
  </si>
  <si>
    <t>Egyéb működési célú kiadás</t>
  </si>
  <si>
    <t>Eredeti előirányzat Önkormányzat</t>
  </si>
  <si>
    <t>Módosított előirányzat Hivatal</t>
  </si>
  <si>
    <t>Módosított előirányzat Önkormányzat</t>
  </si>
  <si>
    <t>11. melléklet a .../2021. (V…..) önkormányzati rendelethez</t>
  </si>
  <si>
    <t>13. melléklet a .../2021. (V...) önkormányzati rendelethez</t>
  </si>
  <si>
    <t>2/a. melléklet a …/2021. (V….) önkormányzati rendelethez</t>
  </si>
  <si>
    <t>2/b. melléklet a …/2021. (V….) önkormányzati rendelethez</t>
  </si>
  <si>
    <t>2/c. melléklet a …/2021. (V. …) önkormányzati rendelethez</t>
  </si>
  <si>
    <t>2/d. melléklet a …/2021. (V. ….) önkormányzati rendelethez</t>
  </si>
  <si>
    <t>2/e. melléklet a …/2021. (V….) önkormányzati rendelethez</t>
  </si>
  <si>
    <t>Baranya Megyei Önkormányzat (összevont adatok)</t>
  </si>
  <si>
    <t>2019. évi tartalék pályázat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</si>
</sst>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_-* #,##0.0\ _F_t_-;\-* #,##0.0\ _F_t_-;_-* &quot;-&quot;??\ _F_t_-;_-@_-"/>
    <numFmt numFmtId="175" formatCode="_-* #,##0\ _F_t_-;\-* #,##0\ _F_t_-;_-* &quot;-&quot;??\ _F_t_-;_-@_-"/>
    <numFmt numFmtId="176" formatCode="0.000"/>
    <numFmt numFmtId="177" formatCode="#,##0_ ;\-#,##0\ "/>
    <numFmt numFmtId="178" formatCode="#\ ###\ ###"/>
    <numFmt numFmtId="179" formatCode="#,###,###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[$-40E]yyyy\.\ mmmm\ d\.\,\ dddd"/>
    <numFmt numFmtId="185" formatCode="0.0"/>
    <numFmt numFmtId="186" formatCode="0.0%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 CE"/>
      <family val="0"/>
    </font>
    <font>
      <sz val="10"/>
      <name val="MS Sans Serif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1" fillId="21" borderId="7" applyNumberFormat="0" applyFont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9" fillId="28" borderId="0" applyNumberFormat="0" applyBorder="0" applyAlignment="0" applyProtection="0"/>
    <xf numFmtId="0" fontId="70" fillId="29" borderId="8" applyNumberFormat="0" applyAlignment="0" applyProtection="0"/>
    <xf numFmtId="0" fontId="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3" fontId="8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 quotePrefix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7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77" fillId="0" borderId="10" xfId="0" applyFont="1" applyBorder="1" applyAlignment="1">
      <alignment horizontal="left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0" fontId="77" fillId="0" borderId="10" xfId="0" applyFont="1" applyBorder="1" applyAlignment="1">
      <alignment horizontal="left" vertical="center" wrapText="1" indent="1"/>
    </xf>
    <xf numFmtId="3" fontId="77" fillId="0" borderId="10" xfId="0" applyNumberFormat="1" applyFont="1" applyBorder="1" applyAlignment="1">
      <alignment horizontal="right" vertical="center" wrapText="1"/>
    </xf>
    <xf numFmtId="0" fontId="78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 horizontal="left" vertical="center" wrapText="1"/>
    </xf>
    <xf numFmtId="0" fontId="72" fillId="0" borderId="0" xfId="0" applyFont="1" applyAlignment="1">
      <alignment/>
    </xf>
    <xf numFmtId="0" fontId="79" fillId="0" borderId="0" xfId="0" applyFont="1" applyAlignment="1">
      <alignment/>
    </xf>
    <xf numFmtId="178" fontId="11" fillId="0" borderId="0" xfId="164" applyNumberFormat="1" applyFont="1" applyFill="1" applyAlignment="1">
      <alignment/>
      <protection/>
    </xf>
    <xf numFmtId="0" fontId="4" fillId="0" borderId="0" xfId="164" applyFont="1" applyFill="1">
      <alignment/>
      <protection/>
    </xf>
    <xf numFmtId="0" fontId="4" fillId="0" borderId="0" xfId="164" applyFont="1">
      <alignment/>
      <protection/>
    </xf>
    <xf numFmtId="3" fontId="4" fillId="0" borderId="0" xfId="164" applyNumberFormat="1" applyFont="1">
      <alignment/>
      <protection/>
    </xf>
    <xf numFmtId="0" fontId="4" fillId="0" borderId="0" xfId="164" applyFont="1" applyAlignment="1">
      <alignment vertical="center"/>
      <protection/>
    </xf>
    <xf numFmtId="0" fontId="11" fillId="0" borderId="0" xfId="164" applyFont="1" applyFill="1">
      <alignment/>
      <protection/>
    </xf>
    <xf numFmtId="3" fontId="4" fillId="0" borderId="0" xfId="164" applyNumberFormat="1" applyFont="1" applyFill="1" applyAlignment="1">
      <alignment horizontal="right"/>
      <protection/>
    </xf>
    <xf numFmtId="178" fontId="11" fillId="0" borderId="0" xfId="164" applyNumberFormat="1" applyFont="1" applyFill="1" applyAlignment="1">
      <alignment horizontal="left"/>
      <protection/>
    </xf>
    <xf numFmtId="0" fontId="79" fillId="0" borderId="0" xfId="0" applyFont="1" applyFill="1" applyBorder="1" applyAlignment="1">
      <alignment/>
    </xf>
    <xf numFmtId="3" fontId="79" fillId="0" borderId="0" xfId="0" applyNumberFormat="1" applyFont="1" applyAlignment="1">
      <alignment/>
    </xf>
    <xf numFmtId="3" fontId="79" fillId="0" borderId="0" xfId="0" applyNumberFormat="1" applyFont="1" applyFill="1" applyBorder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3" fontId="79" fillId="0" borderId="0" xfId="0" applyNumberFormat="1" applyFont="1" applyBorder="1" applyAlignment="1">
      <alignment/>
    </xf>
    <xf numFmtId="179" fontId="4" fillId="0" borderId="0" xfId="164" applyNumberFormat="1" applyFont="1" applyFill="1" applyBorder="1">
      <alignment/>
      <protection/>
    </xf>
    <xf numFmtId="0" fontId="4" fillId="0" borderId="0" xfId="164" applyFont="1" applyFill="1" applyAlignment="1">
      <alignment vertical="center"/>
      <protection/>
    </xf>
    <xf numFmtId="0" fontId="2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3" fontId="76" fillId="0" borderId="0" xfId="0" applyNumberFormat="1" applyFont="1" applyAlignment="1">
      <alignment horizontal="right" vertical="center"/>
    </xf>
    <xf numFmtId="3" fontId="76" fillId="0" borderId="0" xfId="0" applyNumberFormat="1" applyFont="1" applyAlignment="1">
      <alignment vertical="center"/>
    </xf>
    <xf numFmtId="0" fontId="76" fillId="0" borderId="0" xfId="0" applyFont="1" applyAlignment="1">
      <alignment horizontal="center" vertical="center"/>
    </xf>
    <xf numFmtId="10" fontId="76" fillId="0" borderId="0" xfId="0" applyNumberFormat="1" applyFont="1" applyAlignment="1">
      <alignment vertical="center"/>
    </xf>
    <xf numFmtId="14" fontId="76" fillId="0" borderId="0" xfId="0" applyNumberFormat="1" applyFont="1" applyAlignment="1">
      <alignment vertical="center"/>
    </xf>
    <xf numFmtId="3" fontId="76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horizontal="right" vertical="center"/>
    </xf>
    <xf numFmtId="10" fontId="76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vertical="center"/>
    </xf>
    <xf numFmtId="3" fontId="81" fillId="0" borderId="0" xfId="0" applyNumberFormat="1" applyFont="1" applyBorder="1" applyAlignment="1">
      <alignment horizontal="right" vertical="center"/>
    </xf>
    <xf numFmtId="10" fontId="81" fillId="0" borderId="0" xfId="0" applyNumberFormat="1" applyFont="1" applyBorder="1" applyAlignment="1">
      <alignment horizontal="right" vertical="center"/>
    </xf>
    <xf numFmtId="175" fontId="81" fillId="0" borderId="0" xfId="120" applyNumberFormat="1" applyFont="1" applyFill="1" applyBorder="1" applyAlignment="1">
      <alignment horizontal="center" vertical="center" wrapText="1"/>
    </xf>
    <xf numFmtId="3" fontId="82" fillId="0" borderId="0" xfId="0" applyNumberFormat="1" applyFont="1" applyBorder="1" applyAlignment="1">
      <alignment horizontal="right" vertical="center"/>
    </xf>
    <xf numFmtId="10" fontId="82" fillId="0" borderId="0" xfId="0" applyNumberFormat="1" applyFont="1" applyBorder="1" applyAlignment="1">
      <alignment horizontal="right" vertical="center"/>
    </xf>
    <xf numFmtId="3" fontId="76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 horizontal="right" vertical="center"/>
    </xf>
    <xf numFmtId="175" fontId="83" fillId="0" borderId="13" xfId="12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3" fontId="83" fillId="0" borderId="0" xfId="0" applyNumberFormat="1" applyFont="1" applyAlignment="1">
      <alignment horizontal="right" vertical="center"/>
    </xf>
    <xf numFmtId="0" fontId="81" fillId="0" borderId="0" xfId="176" applyFont="1" applyAlignment="1">
      <alignment vertical="center"/>
      <protection/>
    </xf>
    <xf numFmtId="175" fontId="83" fillId="0" borderId="0" xfId="120" applyNumberFormat="1" applyFont="1" applyFill="1" applyBorder="1" applyAlignment="1">
      <alignment horizontal="center" vertical="center" wrapText="1"/>
    </xf>
    <xf numFmtId="3" fontId="83" fillId="0" borderId="0" xfId="0" applyNumberFormat="1" applyFont="1" applyBorder="1" applyAlignment="1">
      <alignment horizontal="right" vertical="center"/>
    </xf>
    <xf numFmtId="10" fontId="83" fillId="0" borderId="0" xfId="0" applyNumberFormat="1" applyFont="1" applyBorder="1" applyAlignment="1">
      <alignment horizontal="right" vertical="center"/>
    </xf>
    <xf numFmtId="3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vertical="center"/>
    </xf>
    <xf numFmtId="3" fontId="83" fillId="0" borderId="0" xfId="0" applyNumberFormat="1" applyFont="1" applyBorder="1" applyAlignment="1">
      <alignment vertical="center"/>
    </xf>
    <xf numFmtId="10" fontId="76" fillId="0" borderId="0" xfId="0" applyNumberFormat="1" applyFont="1" applyAlignment="1">
      <alignment horizontal="right" vertical="center"/>
    </xf>
    <xf numFmtId="10" fontId="17" fillId="0" borderId="0" xfId="0" applyNumberFormat="1" applyFont="1" applyAlignment="1">
      <alignment horizontal="right" vertical="center"/>
    </xf>
    <xf numFmtId="0" fontId="83" fillId="0" borderId="0" xfId="0" applyFont="1" applyAlignment="1">
      <alignment horizontal="center" vertical="center"/>
    </xf>
    <xf numFmtId="3" fontId="82" fillId="32" borderId="0" xfId="0" applyNumberFormat="1" applyFont="1" applyFill="1" applyAlignment="1">
      <alignment horizontal="right" vertical="center"/>
    </xf>
    <xf numFmtId="0" fontId="82" fillId="32" borderId="0" xfId="0" applyFont="1" applyFill="1" applyAlignment="1">
      <alignment horizontal="right" vertical="center"/>
    </xf>
    <xf numFmtId="175" fontId="83" fillId="32" borderId="13" xfId="120" applyNumberFormat="1" applyFont="1" applyFill="1" applyBorder="1" applyAlignment="1">
      <alignment horizontal="center" vertical="center" wrapText="1"/>
    </xf>
    <xf numFmtId="175" fontId="83" fillId="32" borderId="14" xfId="120" applyNumberFormat="1" applyFont="1" applyFill="1" applyBorder="1" applyAlignment="1">
      <alignment horizontal="center" vertical="center" wrapText="1"/>
    </xf>
    <xf numFmtId="3" fontId="83" fillId="32" borderId="15" xfId="0" applyNumberFormat="1" applyFont="1" applyFill="1" applyBorder="1" applyAlignment="1">
      <alignment horizontal="right" vertical="center"/>
    </xf>
    <xf numFmtId="175" fontId="82" fillId="32" borderId="0" xfId="0" applyNumberFormat="1" applyFont="1" applyFill="1" applyAlignment="1">
      <alignment horizontal="right" vertical="center"/>
    </xf>
    <xf numFmtId="0" fontId="76" fillId="32" borderId="0" xfId="0" applyFont="1" applyFill="1" applyAlignment="1">
      <alignment vertical="center"/>
    </xf>
    <xf numFmtId="0" fontId="84" fillId="32" borderId="0" xfId="0" applyFont="1" applyFill="1" applyAlignment="1">
      <alignment vertical="center"/>
    </xf>
    <xf numFmtId="3" fontId="0" fillId="32" borderId="0" xfId="0" applyNumberFormat="1" applyFill="1" applyAlignment="1">
      <alignment horizontal="right" vertical="center"/>
    </xf>
    <xf numFmtId="3" fontId="76" fillId="32" borderId="0" xfId="0" applyNumberFormat="1" applyFont="1" applyFill="1" applyAlignment="1">
      <alignment horizontal="right" vertical="center"/>
    </xf>
    <xf numFmtId="175" fontId="81" fillId="32" borderId="0" xfId="120" applyNumberFormat="1" applyFont="1" applyFill="1" applyBorder="1" applyAlignment="1">
      <alignment horizontal="center" vertical="center" wrapText="1"/>
    </xf>
    <xf numFmtId="0" fontId="76" fillId="32" borderId="0" xfId="0" applyFont="1" applyFill="1" applyAlignment="1">
      <alignment horizontal="right" vertical="center"/>
    </xf>
    <xf numFmtId="0" fontId="83" fillId="32" borderId="16" xfId="0" applyFont="1" applyFill="1" applyBorder="1" applyAlignment="1">
      <alignment horizontal="center" vertical="center" wrapText="1"/>
    </xf>
    <xf numFmtId="0" fontId="83" fillId="32" borderId="13" xfId="0" applyFont="1" applyFill="1" applyBorder="1" applyAlignment="1">
      <alignment horizontal="center" vertical="center"/>
    </xf>
    <xf numFmtId="0" fontId="83" fillId="32" borderId="13" xfId="0" applyFont="1" applyFill="1" applyBorder="1" applyAlignment="1">
      <alignment horizontal="center" vertical="center" wrapText="1"/>
    </xf>
    <xf numFmtId="0" fontId="83" fillId="32" borderId="17" xfId="0" applyFont="1" applyFill="1" applyBorder="1" applyAlignment="1">
      <alignment horizontal="center" vertical="center" wrapText="1"/>
    </xf>
    <xf numFmtId="0" fontId="83" fillId="32" borderId="10" xfId="0" applyFont="1" applyFill="1" applyBorder="1" applyAlignment="1">
      <alignment vertical="center"/>
    </xf>
    <xf numFmtId="3" fontId="83" fillId="32" borderId="10" xfId="0" applyNumberFormat="1" applyFont="1" applyFill="1" applyBorder="1" applyAlignment="1">
      <alignment horizontal="right" vertical="center"/>
    </xf>
    <xf numFmtId="10" fontId="83" fillId="32" borderId="18" xfId="0" applyNumberFormat="1" applyFont="1" applyFill="1" applyBorder="1" applyAlignment="1">
      <alignment horizontal="right" vertical="center"/>
    </xf>
    <xf numFmtId="0" fontId="83" fillId="32" borderId="10" xfId="0" applyFont="1" applyFill="1" applyBorder="1" applyAlignment="1">
      <alignment horizontal="center" vertical="center" wrapText="1"/>
    </xf>
    <xf numFmtId="0" fontId="76" fillId="32" borderId="17" xfId="0" applyFont="1" applyFill="1" applyBorder="1" applyAlignment="1">
      <alignment horizontal="center" vertical="center" wrapText="1"/>
    </xf>
    <xf numFmtId="0" fontId="76" fillId="32" borderId="19" xfId="0" applyFont="1" applyFill="1" applyBorder="1" applyAlignment="1">
      <alignment horizontal="left" vertical="center" wrapText="1"/>
    </xf>
    <xf numFmtId="3" fontId="76" fillId="32" borderId="10" xfId="0" applyNumberFormat="1" applyFont="1" applyFill="1" applyBorder="1" applyAlignment="1">
      <alignment horizontal="right" vertical="center"/>
    </xf>
    <xf numFmtId="0" fontId="76" fillId="32" borderId="10" xfId="0" applyFont="1" applyFill="1" applyBorder="1" applyAlignment="1">
      <alignment horizontal="center" vertical="center" wrapText="1"/>
    </xf>
    <xf numFmtId="0" fontId="76" fillId="32" borderId="10" xfId="0" applyFont="1" applyFill="1" applyBorder="1" applyAlignment="1">
      <alignment horizontal="left" vertical="center" wrapText="1"/>
    </xf>
    <xf numFmtId="0" fontId="76" fillId="32" borderId="10" xfId="0" applyFont="1" applyFill="1" applyBorder="1" applyAlignment="1" quotePrefix="1">
      <alignment horizontal="left" vertical="center" wrapText="1"/>
    </xf>
    <xf numFmtId="0" fontId="76" fillId="32" borderId="10" xfId="0" applyFont="1" applyFill="1" applyBorder="1" applyAlignment="1">
      <alignment horizontal="left" vertical="center"/>
    </xf>
    <xf numFmtId="0" fontId="76" fillId="32" borderId="10" xfId="0" applyFont="1" applyFill="1" applyBorder="1" applyAlignment="1">
      <alignment vertical="center"/>
    </xf>
    <xf numFmtId="0" fontId="83" fillId="32" borderId="17" xfId="0" applyFont="1" applyFill="1" applyBorder="1" applyAlignment="1">
      <alignment horizontal="center" vertical="center"/>
    </xf>
    <xf numFmtId="0" fontId="83" fillId="32" borderId="10" xfId="0" applyFont="1" applyFill="1" applyBorder="1" applyAlignment="1">
      <alignment horizontal="center" vertical="center"/>
    </xf>
    <xf numFmtId="0" fontId="76" fillId="32" borderId="17" xfId="0" applyFont="1" applyFill="1" applyBorder="1" applyAlignment="1">
      <alignment horizontal="center" vertical="center"/>
    </xf>
    <xf numFmtId="0" fontId="76" fillId="32" borderId="10" xfId="0" applyFont="1" applyFill="1" applyBorder="1" applyAlignment="1">
      <alignment horizontal="center" vertical="center"/>
    </xf>
    <xf numFmtId="0" fontId="83" fillId="32" borderId="10" xfId="0" applyFont="1" applyFill="1" applyBorder="1" applyAlignment="1">
      <alignment horizontal="left" vertical="center" wrapText="1"/>
    </xf>
    <xf numFmtId="0" fontId="83" fillId="32" borderId="20" xfId="0" applyFont="1" applyFill="1" applyBorder="1" applyAlignment="1">
      <alignment vertical="center"/>
    </xf>
    <xf numFmtId="0" fontId="83" fillId="32" borderId="15" xfId="0" applyFont="1" applyFill="1" applyBorder="1" applyAlignment="1">
      <alignment vertical="center"/>
    </xf>
    <xf numFmtId="10" fontId="83" fillId="32" borderId="21" xfId="0" applyNumberFormat="1" applyFont="1" applyFill="1" applyBorder="1" applyAlignment="1">
      <alignment horizontal="right" vertical="center"/>
    </xf>
    <xf numFmtId="3" fontId="83" fillId="32" borderId="22" xfId="0" applyNumberFormat="1" applyFont="1" applyFill="1" applyBorder="1" applyAlignment="1">
      <alignment horizontal="right" vertical="center"/>
    </xf>
    <xf numFmtId="3" fontId="82" fillId="32" borderId="0" xfId="0" applyNumberFormat="1" applyFont="1" applyFill="1" applyBorder="1" applyAlignment="1">
      <alignment horizontal="right" vertical="center"/>
    </xf>
    <xf numFmtId="3" fontId="82" fillId="32" borderId="0" xfId="0" applyNumberFormat="1" applyFont="1" applyFill="1" applyBorder="1" applyAlignment="1">
      <alignment vertical="center"/>
    </xf>
    <xf numFmtId="0" fontId="83" fillId="32" borderId="0" xfId="0" applyFont="1" applyFill="1" applyAlignment="1">
      <alignment horizontal="center" vertical="center"/>
    </xf>
    <xf numFmtId="0" fontId="83" fillId="32" borderId="0" xfId="0" applyFont="1" applyFill="1" applyAlignment="1">
      <alignment vertical="center"/>
    </xf>
    <xf numFmtId="3" fontId="83" fillId="32" borderId="0" xfId="0" applyNumberFormat="1" applyFont="1" applyFill="1" applyAlignment="1">
      <alignment horizontal="right" vertical="center"/>
    </xf>
    <xf numFmtId="0" fontId="76" fillId="32" borderId="0" xfId="0" applyFont="1" applyFill="1" applyAlignment="1">
      <alignment horizontal="center" vertical="center"/>
    </xf>
    <xf numFmtId="0" fontId="83" fillId="32" borderId="19" xfId="0" applyFont="1" applyFill="1" applyBorder="1" applyAlignment="1">
      <alignment horizontal="left" vertical="center" wrapText="1"/>
    </xf>
    <xf numFmtId="0" fontId="83" fillId="32" borderId="10" xfId="0" applyFont="1" applyFill="1" applyBorder="1" applyAlignment="1" quotePrefix="1">
      <alignment horizontal="left" vertical="center" wrapText="1"/>
    </xf>
    <xf numFmtId="0" fontId="83" fillId="32" borderId="10" xfId="0" applyFont="1" applyFill="1" applyBorder="1" applyAlignment="1">
      <alignment horizontal="left" vertical="center"/>
    </xf>
    <xf numFmtId="0" fontId="83" fillId="32" borderId="0" xfId="0" applyFont="1" applyFill="1" applyAlignment="1">
      <alignment horizontal="right" vertical="center"/>
    </xf>
    <xf numFmtId="3" fontId="76" fillId="32" borderId="19" xfId="0" applyNumberFormat="1" applyFont="1" applyFill="1" applyBorder="1" applyAlignment="1">
      <alignment horizontal="right" vertical="center" wrapText="1"/>
    </xf>
    <xf numFmtId="3" fontId="76" fillId="32" borderId="10" xfId="0" applyNumberFormat="1" applyFont="1" applyFill="1" applyBorder="1" applyAlignment="1" quotePrefix="1">
      <alignment horizontal="right" vertical="center" wrapText="1"/>
    </xf>
    <xf numFmtId="3" fontId="76" fillId="32" borderId="10" xfId="0" applyNumberFormat="1" applyFont="1" applyFill="1" applyBorder="1" applyAlignment="1">
      <alignment horizontal="right" vertical="center" wrapText="1"/>
    </xf>
    <xf numFmtId="3" fontId="83" fillId="32" borderId="10" xfId="0" applyNumberFormat="1" applyFont="1" applyFill="1" applyBorder="1" applyAlignment="1">
      <alignment horizontal="right" vertical="center" wrapText="1"/>
    </xf>
    <xf numFmtId="3" fontId="83" fillId="32" borderId="23" xfId="0" applyNumberFormat="1" applyFont="1" applyFill="1" applyBorder="1" applyAlignment="1">
      <alignment horizontal="right" vertical="center"/>
    </xf>
    <xf numFmtId="3" fontId="76" fillId="32" borderId="23" xfId="0" applyNumberFormat="1" applyFont="1" applyFill="1" applyBorder="1" applyAlignment="1">
      <alignment horizontal="right" vertical="center" wrapText="1"/>
    </xf>
    <xf numFmtId="3" fontId="76" fillId="32" borderId="23" xfId="0" applyNumberFormat="1" applyFont="1" applyFill="1" applyBorder="1" applyAlignment="1">
      <alignment horizontal="right" vertical="center"/>
    </xf>
    <xf numFmtId="3" fontId="83" fillId="32" borderId="23" xfId="0" applyNumberFormat="1" applyFont="1" applyFill="1" applyBorder="1" applyAlignment="1">
      <alignment horizontal="right" vertical="center" wrapText="1"/>
    </xf>
    <xf numFmtId="3" fontId="83" fillId="32" borderId="24" xfId="0" applyNumberFormat="1" applyFont="1" applyFill="1" applyBorder="1" applyAlignment="1">
      <alignment horizontal="right" vertical="center"/>
    </xf>
    <xf numFmtId="175" fontId="83" fillId="32" borderId="0" xfId="0" applyNumberFormat="1" applyFont="1" applyFill="1" applyAlignment="1">
      <alignment horizontal="right" vertical="center"/>
    </xf>
    <xf numFmtId="3" fontId="83" fillId="32" borderId="0" xfId="0" applyNumberFormat="1" applyFont="1" applyFill="1" applyBorder="1" applyAlignment="1">
      <alignment horizontal="right" vertical="center"/>
    </xf>
    <xf numFmtId="0" fontId="83" fillId="32" borderId="0" xfId="0" applyFont="1" applyFill="1" applyBorder="1" applyAlignment="1">
      <alignment vertical="center"/>
    </xf>
    <xf numFmtId="175" fontId="83" fillId="32" borderId="0" xfId="0" applyNumberFormat="1" applyFont="1" applyFill="1" applyBorder="1" applyAlignment="1">
      <alignment horizontal="right" vertical="center"/>
    </xf>
    <xf numFmtId="0" fontId="83" fillId="32" borderId="0" xfId="0" applyFont="1" applyFill="1" applyBorder="1" applyAlignment="1">
      <alignment horizontal="right" vertical="center"/>
    </xf>
    <xf numFmtId="10" fontId="76" fillId="32" borderId="0" xfId="0" applyNumberFormat="1" applyFont="1" applyFill="1" applyAlignment="1">
      <alignment horizontal="right" vertical="center"/>
    </xf>
    <xf numFmtId="0" fontId="21" fillId="32" borderId="0" xfId="0" applyFont="1" applyFill="1" applyAlignment="1">
      <alignment vertical="center"/>
    </xf>
    <xf numFmtId="10" fontId="83" fillId="32" borderId="14" xfId="120" applyNumberFormat="1" applyFont="1" applyFill="1" applyBorder="1" applyAlignment="1">
      <alignment horizontal="center" vertical="center" wrapText="1"/>
    </xf>
    <xf numFmtId="0" fontId="19" fillId="32" borderId="17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vertical="center"/>
    </xf>
    <xf numFmtId="3" fontId="19" fillId="32" borderId="25" xfId="0" applyNumberFormat="1" applyFont="1" applyFill="1" applyBorder="1" applyAlignment="1">
      <alignment horizontal="right" vertical="center"/>
    </xf>
    <xf numFmtId="10" fontId="19" fillId="32" borderId="26" xfId="0" applyNumberFormat="1" applyFont="1" applyFill="1" applyBorder="1" applyAlignment="1">
      <alignment horizontal="right" vertical="center"/>
    </xf>
    <xf numFmtId="0" fontId="19" fillId="32" borderId="10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left" vertical="center" wrapText="1"/>
    </xf>
    <xf numFmtId="3" fontId="20" fillId="32" borderId="25" xfId="0" applyNumberFormat="1" applyFont="1" applyFill="1" applyBorder="1" applyAlignment="1">
      <alignment horizontal="right"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0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/>
    </xf>
    <xf numFmtId="0" fontId="20" fillId="32" borderId="10" xfId="0" applyFont="1" applyFill="1" applyBorder="1" applyAlignment="1">
      <alignment vertical="center"/>
    </xf>
    <xf numFmtId="0" fontId="19" fillId="32" borderId="17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vertical="center"/>
    </xf>
    <xf numFmtId="0" fontId="17" fillId="32" borderId="15" xfId="0" applyFont="1" applyFill="1" applyBorder="1" applyAlignment="1">
      <alignment vertical="center"/>
    </xf>
    <xf numFmtId="3" fontId="19" fillId="32" borderId="15" xfId="0" applyNumberFormat="1" applyFont="1" applyFill="1" applyBorder="1" applyAlignment="1">
      <alignment horizontal="right" vertical="center"/>
    </xf>
    <xf numFmtId="10" fontId="19" fillId="32" borderId="21" xfId="0" applyNumberFormat="1" applyFont="1" applyFill="1" applyBorder="1" applyAlignment="1">
      <alignment horizontal="right" vertical="center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19" fillId="32" borderId="10" xfId="0" applyFont="1" applyFill="1" applyBorder="1" applyAlignment="1">
      <alignment horizontal="left" vertical="center"/>
    </xf>
    <xf numFmtId="0" fontId="79" fillId="32" borderId="0" xfId="0" applyFont="1" applyFill="1" applyAlignment="1">
      <alignment/>
    </xf>
    <xf numFmtId="3" fontId="79" fillId="32" borderId="0" xfId="0" applyNumberFormat="1" applyFont="1" applyFill="1" applyAlignment="1">
      <alignment/>
    </xf>
    <xf numFmtId="0" fontId="11" fillId="32" borderId="0" xfId="0" applyFont="1" applyFill="1" applyBorder="1" applyAlignment="1">
      <alignment/>
    </xf>
    <xf numFmtId="0" fontId="79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3" fontId="14" fillId="32" borderId="0" xfId="0" applyNumberFormat="1" applyFont="1" applyFill="1" applyBorder="1" applyAlignment="1">
      <alignment horizontal="right"/>
    </xf>
    <xf numFmtId="0" fontId="11" fillId="32" borderId="16" xfId="0" applyFont="1" applyFill="1" applyBorder="1" applyAlignment="1">
      <alignment/>
    </xf>
    <xf numFmtId="3" fontId="11" fillId="32" borderId="14" xfId="0" applyNumberFormat="1" applyFont="1" applyFill="1" applyBorder="1" applyAlignment="1">
      <alignment/>
    </xf>
    <xf numFmtId="0" fontId="4" fillId="32" borderId="17" xfId="0" applyFont="1" applyFill="1" applyBorder="1" applyAlignment="1">
      <alignment/>
    </xf>
    <xf numFmtId="3" fontId="85" fillId="32" borderId="18" xfId="0" applyNumberFormat="1" applyFont="1" applyFill="1" applyBorder="1" applyAlignment="1">
      <alignment/>
    </xf>
    <xf numFmtId="0" fontId="11" fillId="32" borderId="17" xfId="0" applyFont="1" applyFill="1" applyBorder="1" applyAlignment="1">
      <alignment/>
    </xf>
    <xf numFmtId="3" fontId="86" fillId="32" borderId="18" xfId="0" applyNumberFormat="1" applyFont="1" applyFill="1" applyBorder="1" applyAlignment="1">
      <alignment/>
    </xf>
    <xf numFmtId="0" fontId="80" fillId="32" borderId="17" xfId="0" applyFont="1" applyFill="1" applyBorder="1" applyAlignment="1">
      <alignment/>
    </xf>
    <xf numFmtId="0" fontId="79" fillId="32" borderId="17" xfId="0" applyFont="1" applyFill="1" applyBorder="1" applyAlignment="1">
      <alignment/>
    </xf>
    <xf numFmtId="3" fontId="11" fillId="32" borderId="18" xfId="0" applyNumberFormat="1" applyFont="1" applyFill="1" applyBorder="1" applyAlignment="1">
      <alignment/>
    </xf>
    <xf numFmtId="0" fontId="11" fillId="32" borderId="20" xfId="0" applyFont="1" applyFill="1" applyBorder="1" applyAlignment="1">
      <alignment/>
    </xf>
    <xf numFmtId="3" fontId="86" fillId="32" borderId="21" xfId="0" applyNumberFormat="1" applyFont="1" applyFill="1" applyBorder="1" applyAlignment="1">
      <alignment/>
    </xf>
    <xf numFmtId="0" fontId="16" fillId="32" borderId="0" xfId="176" applyFont="1" applyFill="1" applyAlignment="1">
      <alignment vertical="center"/>
      <protection/>
    </xf>
    <xf numFmtId="10" fontId="16" fillId="32" borderId="0" xfId="176" applyNumberFormat="1" applyFont="1" applyFill="1" applyAlignment="1">
      <alignment vertical="center"/>
      <protection/>
    </xf>
    <xf numFmtId="0" fontId="19" fillId="32" borderId="0" xfId="0" applyFont="1" applyFill="1" applyAlignment="1">
      <alignment horizontal="center" vertical="center"/>
    </xf>
    <xf numFmtId="10" fontId="19" fillId="32" borderId="0" xfId="0" applyNumberFormat="1" applyFont="1" applyFill="1" applyAlignment="1">
      <alignment horizontal="center" vertical="center"/>
    </xf>
    <xf numFmtId="0" fontId="19" fillId="32" borderId="0" xfId="0" applyFont="1" applyFill="1" applyAlignment="1">
      <alignment horizontal="right" vertical="center"/>
    </xf>
    <xf numFmtId="10" fontId="19" fillId="32" borderId="0" xfId="0" applyNumberFormat="1" applyFont="1" applyFill="1" applyAlignment="1">
      <alignment horizontal="right" vertical="center"/>
    </xf>
    <xf numFmtId="10" fontId="19" fillId="32" borderId="25" xfId="0" applyNumberFormat="1" applyFont="1" applyFill="1" applyBorder="1" applyAlignment="1">
      <alignment horizontal="right" vertical="center"/>
    </xf>
    <xf numFmtId="10" fontId="19" fillId="32" borderId="15" xfId="0" applyNumberFormat="1" applyFont="1" applyFill="1" applyBorder="1" applyAlignment="1">
      <alignment horizontal="right" vertical="center"/>
    </xf>
    <xf numFmtId="0" fontId="81" fillId="32" borderId="0" xfId="176" applyFont="1" applyFill="1" applyAlignment="1">
      <alignment horizontal="right" vertical="center"/>
      <protection/>
    </xf>
    <xf numFmtId="0" fontId="81" fillId="32" borderId="0" xfId="176" applyFont="1" applyFill="1" applyAlignment="1">
      <alignment vertical="center"/>
      <protection/>
    </xf>
    <xf numFmtId="0" fontId="83" fillId="32" borderId="0" xfId="176" applyFont="1" applyFill="1" applyAlignment="1">
      <alignment vertical="center"/>
      <protection/>
    </xf>
    <xf numFmtId="0" fontId="87" fillId="32" borderId="0" xfId="0" applyFont="1" applyFill="1" applyAlignment="1">
      <alignment vertical="center"/>
    </xf>
    <xf numFmtId="0" fontId="83" fillId="32" borderId="17" xfId="0" applyFont="1" applyFill="1" applyBorder="1" applyAlignment="1">
      <alignment horizontal="left" vertical="center" wrapText="1"/>
    </xf>
    <xf numFmtId="0" fontId="83" fillId="32" borderId="17" xfId="0" applyFont="1" applyFill="1" applyBorder="1" applyAlignment="1">
      <alignment horizontal="left" vertical="center"/>
    </xf>
    <xf numFmtId="0" fontId="83" fillId="32" borderId="20" xfId="0" applyFont="1" applyFill="1" applyBorder="1" applyAlignment="1">
      <alignment horizontal="left" vertical="center"/>
    </xf>
    <xf numFmtId="0" fontId="4" fillId="32" borderId="0" xfId="164" applyFont="1" applyFill="1" applyAlignment="1">
      <alignment/>
      <protection/>
    </xf>
    <xf numFmtId="49" fontId="11" fillId="32" borderId="0" xfId="164" applyNumberFormat="1" applyFont="1" applyFill="1" applyAlignment="1">
      <alignment horizontal="centerContinuous"/>
      <protection/>
    </xf>
    <xf numFmtId="178" fontId="11" fillId="32" borderId="0" xfId="164" applyNumberFormat="1" applyFont="1" applyFill="1" applyAlignment="1">
      <alignment/>
      <protection/>
    </xf>
    <xf numFmtId="49" fontId="11" fillId="32" borderId="0" xfId="164" applyNumberFormat="1" applyFont="1" applyFill="1" applyAlignment="1">
      <alignment horizontal="center"/>
      <protection/>
    </xf>
    <xf numFmtId="49" fontId="4" fillId="32" borderId="0" xfId="164" applyNumberFormat="1" applyFont="1" applyFill="1" applyAlignment="1">
      <alignment horizontal="right"/>
      <protection/>
    </xf>
    <xf numFmtId="3" fontId="11" fillId="32" borderId="0" xfId="164" applyNumberFormat="1" applyFont="1" applyFill="1" applyAlignment="1">
      <alignment horizontal="centerContinuous"/>
      <protection/>
    </xf>
    <xf numFmtId="0" fontId="12" fillId="32" borderId="0" xfId="164" applyFont="1" applyFill="1" applyAlignment="1">
      <alignment horizontal="right"/>
      <protection/>
    </xf>
    <xf numFmtId="0" fontId="4" fillId="32" borderId="0" xfId="164" applyFont="1" applyFill="1">
      <alignment/>
      <protection/>
    </xf>
    <xf numFmtId="3" fontId="4" fillId="32" borderId="0" xfId="164" applyNumberFormat="1" applyFont="1" applyFill="1">
      <alignment/>
      <protection/>
    </xf>
    <xf numFmtId="0" fontId="4" fillId="32" borderId="27" xfId="164" applyFont="1" applyFill="1" applyBorder="1" applyAlignment="1">
      <alignment horizontal="center" vertical="center" wrapText="1"/>
      <protection/>
    </xf>
    <xf numFmtId="0" fontId="4" fillId="32" borderId="28" xfId="164" applyFont="1" applyFill="1" applyBorder="1" applyAlignment="1">
      <alignment horizontal="center" vertical="center" wrapText="1"/>
      <protection/>
    </xf>
    <xf numFmtId="0" fontId="4" fillId="32" borderId="29" xfId="164" applyFont="1" applyFill="1" applyBorder="1" applyAlignment="1">
      <alignment horizontal="center" vertical="center" wrapText="1"/>
      <protection/>
    </xf>
    <xf numFmtId="0" fontId="4" fillId="32" borderId="30" xfId="164" applyFont="1" applyFill="1" applyBorder="1" applyAlignment="1">
      <alignment horizontal="center" vertical="center" wrapText="1"/>
      <protection/>
    </xf>
    <xf numFmtId="0" fontId="4" fillId="32" borderId="31" xfId="164" applyFont="1" applyFill="1" applyBorder="1" applyAlignment="1">
      <alignment vertical="center" wrapText="1"/>
      <protection/>
    </xf>
    <xf numFmtId="0" fontId="4" fillId="32" borderId="32" xfId="164" applyFont="1" applyFill="1" applyBorder="1" applyAlignment="1">
      <alignment vertical="center" wrapText="1"/>
      <protection/>
    </xf>
    <xf numFmtId="0" fontId="4" fillId="32" borderId="32" xfId="164" applyFont="1" applyFill="1" applyBorder="1" applyAlignment="1">
      <alignment horizontal="center" vertical="center" wrapText="1"/>
      <protection/>
    </xf>
    <xf numFmtId="0" fontId="11" fillId="32" borderId="29" xfId="164" applyFont="1" applyFill="1" applyBorder="1" applyAlignment="1">
      <alignment horizontal="center" vertical="top" wrapText="1"/>
      <protection/>
    </xf>
    <xf numFmtId="0" fontId="4" fillId="32" borderId="0" xfId="164" applyFont="1" applyFill="1" applyBorder="1" applyAlignment="1">
      <alignment/>
      <protection/>
    </xf>
    <xf numFmtId="3" fontId="4" fillId="32" borderId="0" xfId="164" applyNumberFormat="1" applyFont="1" applyFill="1" applyBorder="1">
      <alignment/>
      <protection/>
    </xf>
    <xf numFmtId="3" fontId="4" fillId="32" borderId="30" xfId="164" applyNumberFormat="1" applyFont="1" applyFill="1" applyBorder="1">
      <alignment/>
      <protection/>
    </xf>
    <xf numFmtId="0" fontId="11" fillId="32" borderId="23" xfId="164" applyFont="1" applyFill="1" applyBorder="1" applyAlignment="1">
      <alignment horizontal="center" wrapText="1"/>
      <protection/>
    </xf>
    <xf numFmtId="0" fontId="11" fillId="32" borderId="33" xfId="164" applyFont="1" applyFill="1" applyBorder="1">
      <alignment/>
      <protection/>
    </xf>
    <xf numFmtId="0" fontId="11" fillId="32" borderId="33" xfId="164" applyFont="1" applyFill="1" applyBorder="1" applyAlignment="1">
      <alignment horizontal="right"/>
      <protection/>
    </xf>
    <xf numFmtId="0" fontId="11" fillId="32" borderId="33" xfId="164" applyFont="1" applyFill="1" applyBorder="1" applyAlignment="1">
      <alignment horizontal="center"/>
      <protection/>
    </xf>
    <xf numFmtId="3" fontId="11" fillId="32" borderId="33" xfId="164" applyNumberFormat="1" applyFont="1" applyFill="1" applyBorder="1">
      <alignment/>
      <protection/>
    </xf>
    <xf numFmtId="0" fontId="4" fillId="32" borderId="0" xfId="164" applyFont="1" applyFill="1" applyAlignment="1">
      <alignment horizontal="left"/>
      <protection/>
    </xf>
    <xf numFmtId="49" fontId="4" fillId="32" borderId="0" xfId="164" applyNumberFormat="1" applyFont="1" applyFill="1" applyAlignment="1">
      <alignment horizontal="center"/>
      <protection/>
    </xf>
    <xf numFmtId="3" fontId="4" fillId="32" borderId="0" xfId="164" applyNumberFormat="1" applyFont="1" applyFill="1" applyAlignment="1">
      <alignment horizontal="right"/>
      <protection/>
    </xf>
    <xf numFmtId="178" fontId="11" fillId="32" borderId="0" xfId="164" applyNumberFormat="1" applyFont="1" applyFill="1" applyAlignment="1">
      <alignment horizontal="left"/>
      <protection/>
    </xf>
    <xf numFmtId="0" fontId="4" fillId="32" borderId="0" xfId="164" applyFont="1" applyFill="1" applyAlignment="1">
      <alignment horizontal="center" wrapText="1"/>
      <protection/>
    </xf>
    <xf numFmtId="0" fontId="4" fillId="32" borderId="0" xfId="164" applyFont="1" applyFill="1" applyAlignment="1">
      <alignment horizontal="right"/>
      <protection/>
    </xf>
    <xf numFmtId="0" fontId="4" fillId="32" borderId="0" xfId="164" applyFont="1" applyFill="1" applyAlignment="1">
      <alignment horizontal="center"/>
      <protection/>
    </xf>
    <xf numFmtId="0" fontId="4" fillId="32" borderId="27" xfId="164" applyFont="1" applyFill="1" applyBorder="1" applyAlignment="1">
      <alignment horizontal="center" wrapText="1"/>
      <protection/>
    </xf>
    <xf numFmtId="0" fontId="4" fillId="32" borderId="28" xfId="164" applyFont="1" applyFill="1" applyBorder="1" applyAlignment="1">
      <alignment horizontal="center" wrapText="1"/>
      <protection/>
    </xf>
    <xf numFmtId="0" fontId="4" fillId="32" borderId="29" xfId="164" applyFont="1" applyFill="1" applyBorder="1" applyAlignment="1">
      <alignment horizontal="center" wrapText="1"/>
      <protection/>
    </xf>
    <xf numFmtId="0" fontId="4" fillId="32" borderId="30" xfId="164" applyFont="1" applyFill="1" applyBorder="1" applyAlignment="1">
      <alignment horizontal="center" wrapText="1"/>
      <protection/>
    </xf>
    <xf numFmtId="0" fontId="4" fillId="32" borderId="31" xfId="164" applyFont="1" applyFill="1" applyBorder="1" applyAlignment="1">
      <alignment wrapText="1"/>
      <protection/>
    </xf>
    <xf numFmtId="0" fontId="4" fillId="32" borderId="32" xfId="164" applyFont="1" applyFill="1" applyBorder="1" applyAlignment="1">
      <alignment wrapText="1"/>
      <protection/>
    </xf>
    <xf numFmtId="0" fontId="4" fillId="32" borderId="32" xfId="164" applyFont="1" applyFill="1" applyBorder="1" applyAlignment="1">
      <alignment horizontal="center" wrapText="1"/>
      <protection/>
    </xf>
    <xf numFmtId="0" fontId="4" fillId="32" borderId="27" xfId="164" applyFont="1" applyFill="1" applyBorder="1" applyAlignment="1">
      <alignment wrapText="1"/>
      <protection/>
    </xf>
    <xf numFmtId="3" fontId="4" fillId="32" borderId="34" xfId="164" applyNumberFormat="1" applyFont="1" applyFill="1" applyBorder="1">
      <alignment/>
      <protection/>
    </xf>
    <xf numFmtId="3" fontId="4" fillId="32" borderId="28" xfId="164" applyNumberFormat="1" applyFont="1" applyFill="1" applyBorder="1">
      <alignment/>
      <protection/>
    </xf>
    <xf numFmtId="3" fontId="11" fillId="32" borderId="11" xfId="164" applyNumberFormat="1" applyFont="1" applyFill="1" applyBorder="1">
      <alignment/>
      <protection/>
    </xf>
    <xf numFmtId="0" fontId="11" fillId="32" borderId="0" xfId="164" applyFont="1" applyFill="1" applyAlignment="1">
      <alignment horizontal="right"/>
      <protection/>
    </xf>
    <xf numFmtId="3" fontId="11" fillId="32" borderId="0" xfId="164" applyNumberFormat="1" applyFont="1" applyFill="1" applyAlignment="1">
      <alignment horizontal="center"/>
      <protection/>
    </xf>
    <xf numFmtId="0" fontId="4" fillId="32" borderId="25" xfId="164" applyFont="1" applyFill="1" applyBorder="1" applyAlignment="1">
      <alignment horizontal="center" wrapText="1"/>
      <protection/>
    </xf>
    <xf numFmtId="0" fontId="4" fillId="32" borderId="34" xfId="164" applyFont="1" applyFill="1" applyBorder="1" applyAlignment="1">
      <alignment horizontal="center" wrapText="1"/>
      <protection/>
    </xf>
    <xf numFmtId="0" fontId="4" fillId="32" borderId="35" xfId="164" applyFont="1" applyFill="1" applyBorder="1" applyAlignment="1">
      <alignment horizontal="center" wrapText="1"/>
      <protection/>
    </xf>
    <xf numFmtId="0" fontId="4" fillId="32" borderId="0" xfId="164" applyFont="1" applyFill="1" applyBorder="1" applyAlignment="1">
      <alignment horizontal="center" wrapText="1"/>
      <protection/>
    </xf>
    <xf numFmtId="0" fontId="4" fillId="32" borderId="19" xfId="164" applyFont="1" applyFill="1" applyBorder="1" applyAlignment="1">
      <alignment wrapText="1"/>
      <protection/>
    </xf>
    <xf numFmtId="0" fontId="4" fillId="32" borderId="11" xfId="164" applyFont="1" applyFill="1" applyBorder="1" applyAlignment="1">
      <alignment horizontal="center" wrapText="1"/>
      <protection/>
    </xf>
    <xf numFmtId="0" fontId="4" fillId="32" borderId="10" xfId="164" applyFont="1" applyFill="1" applyBorder="1" applyAlignment="1">
      <alignment horizontal="center" vertical="top" wrapText="1"/>
      <protection/>
    </xf>
    <xf numFmtId="0" fontId="4" fillId="32" borderId="10" xfId="164" applyFont="1" applyFill="1" applyBorder="1" applyAlignment="1">
      <alignment wrapText="1"/>
      <protection/>
    </xf>
    <xf numFmtId="0" fontId="4" fillId="32" borderId="10" xfId="164" applyFont="1" applyFill="1" applyBorder="1" applyAlignment="1">
      <alignment horizontal="center" wrapText="1"/>
      <protection/>
    </xf>
    <xf numFmtId="3" fontId="4" fillId="32" borderId="10" xfId="164" applyNumberFormat="1" applyFont="1" applyFill="1" applyBorder="1" applyAlignment="1">
      <alignment horizontal="right" vertical="top" wrapText="1"/>
      <protection/>
    </xf>
    <xf numFmtId="0" fontId="11" fillId="32" borderId="10" xfId="164" applyFont="1" applyFill="1" applyBorder="1" applyAlignment="1">
      <alignment horizontal="center" wrapText="1"/>
      <protection/>
    </xf>
    <xf numFmtId="0" fontId="11" fillId="32" borderId="10" xfId="164" applyFont="1" applyFill="1" applyBorder="1">
      <alignment/>
      <protection/>
    </xf>
    <xf numFmtId="0" fontId="11" fillId="32" borderId="10" xfId="164" applyFont="1" applyFill="1" applyBorder="1" applyAlignment="1">
      <alignment horizontal="right"/>
      <protection/>
    </xf>
    <xf numFmtId="0" fontId="11" fillId="32" borderId="10" xfId="164" applyFont="1" applyFill="1" applyBorder="1" applyAlignment="1">
      <alignment horizontal="center"/>
      <protection/>
    </xf>
    <xf numFmtId="3" fontId="11" fillId="32" borderId="10" xfId="164" applyNumberFormat="1" applyFont="1" applyFill="1" applyBorder="1">
      <alignment/>
      <protection/>
    </xf>
    <xf numFmtId="49" fontId="27" fillId="32" borderId="0" xfId="164" applyNumberFormat="1" applyFont="1" applyFill="1" applyAlignment="1">
      <alignment horizontal="right"/>
      <protection/>
    </xf>
    <xf numFmtId="3" fontId="11" fillId="32" borderId="0" xfId="164" applyNumberFormat="1" applyFont="1" applyFill="1">
      <alignment/>
      <protection/>
    </xf>
    <xf numFmtId="0" fontId="28" fillId="32" borderId="0" xfId="164" applyFont="1" applyFill="1" applyAlignment="1">
      <alignment horizontal="left"/>
      <protection/>
    </xf>
    <xf numFmtId="0" fontId="11" fillId="32" borderId="0" xfId="164" applyFont="1" applyFill="1" applyAlignment="1">
      <alignment vertical="center" wrapText="1"/>
      <protection/>
    </xf>
    <xf numFmtId="0" fontId="11" fillId="32" borderId="0" xfId="164" applyFont="1" applyFill="1" applyAlignment="1">
      <alignment horizontal="center" vertical="center" wrapText="1"/>
      <protection/>
    </xf>
    <xf numFmtId="0" fontId="28" fillId="32" borderId="0" xfId="164" applyFont="1" applyFill="1" applyAlignment="1">
      <alignment horizontal="center" vertical="center"/>
      <protection/>
    </xf>
    <xf numFmtId="179" fontId="11" fillId="32" borderId="10" xfId="164" applyNumberFormat="1" applyFont="1" applyFill="1" applyBorder="1" applyAlignment="1">
      <alignment horizontal="center" vertical="center" wrapText="1"/>
      <protection/>
    </xf>
    <xf numFmtId="0" fontId="11" fillId="32" borderId="10" xfId="164" applyFont="1" applyFill="1" applyBorder="1" applyAlignment="1">
      <alignment horizontal="center" vertical="center"/>
      <protection/>
    </xf>
    <xf numFmtId="0" fontId="4" fillId="32" borderId="0" xfId="164" applyFont="1" applyFill="1" applyAlignment="1">
      <alignment vertical="center"/>
      <protection/>
    </xf>
    <xf numFmtId="179" fontId="4" fillId="32" borderId="10" xfId="164" applyNumberFormat="1" applyFont="1" applyFill="1" applyBorder="1" applyAlignment="1">
      <alignment vertical="center"/>
      <protection/>
    </xf>
    <xf numFmtId="179" fontId="11" fillId="32" borderId="10" xfId="164" applyNumberFormat="1" applyFont="1" applyFill="1" applyBorder="1" applyAlignment="1">
      <alignment vertical="center"/>
      <protection/>
    </xf>
    <xf numFmtId="0" fontId="79" fillId="32" borderId="0" xfId="0" applyFont="1" applyFill="1" applyAlignment="1">
      <alignment vertical="center"/>
    </xf>
    <xf numFmtId="0" fontId="11" fillId="32" borderId="0" xfId="177" applyFont="1" applyFill="1" applyBorder="1" applyAlignment="1">
      <alignment vertical="center"/>
      <protection/>
    </xf>
    <xf numFmtId="0" fontId="24" fillId="32" borderId="0" xfId="164" applyFont="1" applyFill="1" applyAlignment="1">
      <alignment horizontal="center" vertical="center" wrapText="1"/>
      <protection/>
    </xf>
    <xf numFmtId="0" fontId="11" fillId="32" borderId="0" xfId="164" applyFont="1" applyFill="1" applyAlignment="1">
      <alignment vertical="center"/>
      <protection/>
    </xf>
    <xf numFmtId="0" fontId="4" fillId="32" borderId="0" xfId="164" applyFont="1" applyFill="1" applyAlignment="1">
      <alignment horizontal="right" vertical="center"/>
      <protection/>
    </xf>
    <xf numFmtId="0" fontId="11" fillId="32" borderId="36" xfId="164" applyFont="1" applyFill="1" applyBorder="1" applyAlignment="1">
      <alignment horizontal="center" vertical="center" wrapText="1"/>
      <protection/>
    </xf>
    <xf numFmtId="0" fontId="11" fillId="32" borderId="37" xfId="164" applyFont="1" applyFill="1" applyBorder="1" applyAlignment="1">
      <alignment horizontal="center" vertical="center" wrapText="1"/>
      <protection/>
    </xf>
    <xf numFmtId="0" fontId="11" fillId="32" borderId="38" xfId="164" applyFont="1" applyFill="1" applyBorder="1" applyAlignment="1">
      <alignment horizontal="center" vertical="center" wrapText="1"/>
      <protection/>
    </xf>
    <xf numFmtId="0" fontId="11" fillId="32" borderId="39" xfId="164" applyFont="1" applyFill="1" applyBorder="1" applyAlignment="1">
      <alignment horizontal="center" vertical="center" wrapText="1"/>
      <protection/>
    </xf>
    <xf numFmtId="0" fontId="85" fillId="32" borderId="0" xfId="0" applyFont="1" applyFill="1" applyAlignment="1">
      <alignment vertical="center"/>
    </xf>
    <xf numFmtId="0" fontId="11" fillId="32" borderId="40" xfId="164" applyFont="1" applyFill="1" applyBorder="1" applyAlignment="1">
      <alignment horizontal="center" vertical="center" wrapText="1"/>
      <protection/>
    </xf>
    <xf numFmtId="0" fontId="11" fillId="32" borderId="19" xfId="164" applyFont="1" applyFill="1" applyBorder="1" applyAlignment="1">
      <alignment horizontal="left" vertical="center" wrapText="1"/>
      <protection/>
    </xf>
    <xf numFmtId="0" fontId="4" fillId="32" borderId="41" xfId="164" applyFont="1" applyFill="1" applyBorder="1" applyAlignment="1">
      <alignment vertical="center"/>
      <protection/>
    </xf>
    <xf numFmtId="0" fontId="4" fillId="32" borderId="17" xfId="164" applyFont="1" applyFill="1" applyBorder="1" applyAlignment="1">
      <alignment horizontal="center" vertical="center" wrapText="1"/>
      <protection/>
    </xf>
    <xf numFmtId="0" fontId="4" fillId="32" borderId="10" xfId="164" applyFont="1" applyFill="1" applyBorder="1" applyAlignment="1">
      <alignment horizontal="left" vertical="center" wrapText="1"/>
      <protection/>
    </xf>
    <xf numFmtId="3" fontId="4" fillId="32" borderId="18" xfId="164" applyNumberFormat="1" applyFont="1" applyFill="1" applyBorder="1" applyAlignment="1">
      <alignment horizontal="right" vertical="center" wrapText="1"/>
      <protection/>
    </xf>
    <xf numFmtId="0" fontId="11" fillId="32" borderId="17" xfId="164" applyFont="1" applyFill="1" applyBorder="1" applyAlignment="1">
      <alignment horizontal="center" vertical="center" wrapText="1"/>
      <protection/>
    </xf>
    <xf numFmtId="0" fontId="11" fillId="32" borderId="10" xfId="164" applyFont="1" applyFill="1" applyBorder="1" applyAlignment="1">
      <alignment horizontal="left" vertical="center" wrapText="1"/>
      <protection/>
    </xf>
    <xf numFmtId="3" fontId="11" fillId="32" borderId="18" xfId="164" applyNumberFormat="1" applyFont="1" applyFill="1" applyBorder="1" applyAlignment="1">
      <alignment horizontal="right" vertical="center" wrapText="1"/>
      <protection/>
    </xf>
    <xf numFmtId="0" fontId="11" fillId="32" borderId="42" xfId="164" applyFont="1" applyFill="1" applyBorder="1" applyAlignment="1">
      <alignment horizontal="center" vertical="center" wrapText="1"/>
      <protection/>
    </xf>
    <xf numFmtId="0" fontId="11" fillId="32" borderId="25" xfId="164" applyFont="1" applyFill="1" applyBorder="1" applyAlignment="1">
      <alignment horizontal="left" vertical="center" wrapText="1"/>
      <protection/>
    </xf>
    <xf numFmtId="3" fontId="11" fillId="32" borderId="26" xfId="164" applyNumberFormat="1" applyFont="1" applyFill="1" applyBorder="1" applyAlignment="1">
      <alignment horizontal="right" vertical="center" wrapText="1"/>
      <protection/>
    </xf>
    <xf numFmtId="0" fontId="11" fillId="32" borderId="37" xfId="164" applyFont="1" applyFill="1" applyBorder="1" applyAlignment="1">
      <alignment horizontal="left" vertical="center" wrapText="1"/>
      <protection/>
    </xf>
    <xf numFmtId="3" fontId="11" fillId="32" borderId="38" xfId="164" applyNumberFormat="1" applyFont="1" applyFill="1" applyBorder="1" applyAlignment="1">
      <alignment horizontal="right" vertical="center" wrapText="1"/>
      <protection/>
    </xf>
    <xf numFmtId="3" fontId="79" fillId="32" borderId="0" xfId="0" applyNumberFormat="1" applyFont="1" applyFill="1" applyAlignment="1">
      <alignment vertical="center"/>
    </xf>
    <xf numFmtId="10" fontId="79" fillId="32" borderId="0" xfId="0" applyNumberFormat="1" applyFont="1" applyFill="1" applyAlignment="1">
      <alignment vertical="center"/>
    </xf>
    <xf numFmtId="0" fontId="25" fillId="32" borderId="0" xfId="178" applyFont="1" applyFill="1" applyAlignment="1">
      <alignment vertical="center"/>
      <protection/>
    </xf>
    <xf numFmtId="0" fontId="25" fillId="32" borderId="0" xfId="178" applyFont="1" applyFill="1" applyAlignment="1">
      <alignment horizontal="center" vertical="center"/>
      <protection/>
    </xf>
    <xf numFmtId="3" fontId="25" fillId="32" borderId="0" xfId="178" applyNumberFormat="1" applyFont="1" applyFill="1" applyAlignment="1">
      <alignment horizontal="center" vertical="center"/>
      <protection/>
    </xf>
    <xf numFmtId="3" fontId="88" fillId="32" borderId="43" xfId="0" applyNumberFormat="1" applyFont="1" applyFill="1" applyBorder="1" applyAlignment="1">
      <alignment horizontal="right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 wrapText="1"/>
    </xf>
    <xf numFmtId="3" fontId="13" fillId="32" borderId="13" xfId="0" applyNumberFormat="1" applyFont="1" applyFill="1" applyBorder="1" applyAlignment="1">
      <alignment horizontal="center" vertical="center" wrapText="1"/>
    </xf>
    <xf numFmtId="3" fontId="89" fillId="32" borderId="14" xfId="0" applyNumberFormat="1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85" fillId="32" borderId="10" xfId="0" applyNumberFormat="1" applyFont="1" applyFill="1" applyBorder="1" applyAlignment="1">
      <alignment vertical="center" wrapText="1"/>
    </xf>
    <xf numFmtId="3" fontId="85" fillId="32" borderId="10" xfId="0" applyNumberFormat="1" applyFont="1" applyFill="1" applyBorder="1" applyAlignment="1">
      <alignment vertical="center"/>
    </xf>
    <xf numFmtId="3" fontId="85" fillId="32" borderId="18" xfId="0" applyNumberFormat="1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 wrapText="1"/>
    </xf>
    <xf numFmtId="3" fontId="85" fillId="32" borderId="18" xfId="0" applyNumberFormat="1" applyFont="1" applyFill="1" applyBorder="1" applyAlignment="1">
      <alignment vertical="center" wrapText="1"/>
    </xf>
    <xf numFmtId="0" fontId="11" fillId="32" borderId="17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 wrapText="1"/>
    </xf>
    <xf numFmtId="3" fontId="86" fillId="32" borderId="18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3" fontId="11" fillId="32" borderId="10" xfId="0" applyNumberFormat="1" applyFont="1" applyFill="1" applyBorder="1" applyAlignment="1">
      <alignment vertical="center"/>
    </xf>
    <xf numFmtId="3" fontId="86" fillId="32" borderId="18" xfId="0" applyNumberFormat="1" applyFont="1" applyFill="1" applyBorder="1" applyAlignment="1">
      <alignment vertical="center"/>
    </xf>
    <xf numFmtId="0" fontId="11" fillId="32" borderId="20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left" vertical="center" wrapText="1"/>
    </xf>
    <xf numFmtId="3" fontId="11" fillId="32" borderId="15" xfId="0" applyNumberFormat="1" applyFont="1" applyFill="1" applyBorder="1" applyAlignment="1">
      <alignment vertical="center" wrapText="1"/>
    </xf>
    <xf numFmtId="3" fontId="11" fillId="32" borderId="15" xfId="0" applyNumberFormat="1" applyFont="1" applyFill="1" applyBorder="1" applyAlignment="1">
      <alignment vertical="center"/>
    </xf>
    <xf numFmtId="3" fontId="86" fillId="32" borderId="21" xfId="0" applyNumberFormat="1" applyFont="1" applyFill="1" applyBorder="1" applyAlignment="1">
      <alignment vertical="center"/>
    </xf>
    <xf numFmtId="0" fontId="79" fillId="32" borderId="0" xfId="0" applyFont="1" applyFill="1" applyAlignment="1">
      <alignment vertical="center" wrapText="1"/>
    </xf>
    <xf numFmtId="0" fontId="88" fillId="32" borderId="0" xfId="0" applyFont="1" applyFill="1" applyAlignment="1">
      <alignment horizontal="right" vertical="center" wrapText="1"/>
    </xf>
    <xf numFmtId="0" fontId="11" fillId="32" borderId="16" xfId="0" applyFont="1" applyFill="1" applyBorder="1" applyAlignment="1">
      <alignment vertical="center"/>
    </xf>
    <xf numFmtId="0" fontId="11" fillId="32" borderId="14" xfId="0" applyFont="1" applyFill="1" applyBorder="1" applyAlignment="1">
      <alignment horizontal="center" vertical="center" wrapText="1"/>
    </xf>
    <xf numFmtId="3" fontId="11" fillId="32" borderId="18" xfId="0" applyNumberFormat="1" applyFont="1" applyFill="1" applyBorder="1" applyAlignment="1">
      <alignment vertical="center" wrapText="1"/>
    </xf>
    <xf numFmtId="3" fontId="11" fillId="32" borderId="21" xfId="0" applyNumberFormat="1" applyFont="1" applyFill="1" applyBorder="1" applyAlignment="1">
      <alignment vertical="center" wrapText="1"/>
    </xf>
    <xf numFmtId="0" fontId="4" fillId="32" borderId="0" xfId="178" applyFont="1" applyFill="1" applyAlignment="1">
      <alignment vertical="center"/>
      <protection/>
    </xf>
    <xf numFmtId="3" fontId="4" fillId="32" borderId="0" xfId="178" applyNumberFormat="1" applyFont="1" applyFill="1" applyAlignment="1">
      <alignment vertical="center"/>
      <protection/>
    </xf>
    <xf numFmtId="3" fontId="85" fillId="32" borderId="0" xfId="178" applyNumberFormat="1" applyFont="1" applyFill="1" applyAlignment="1">
      <alignment vertical="center"/>
      <protection/>
    </xf>
    <xf numFmtId="49" fontId="11" fillId="32" borderId="0" xfId="178" applyNumberFormat="1" applyFont="1" applyFill="1" applyAlignment="1">
      <alignment vertical="center"/>
      <protection/>
    </xf>
    <xf numFmtId="49" fontId="11" fillId="32" borderId="0" xfId="178" applyNumberFormat="1" applyFont="1" applyFill="1" applyBorder="1" applyAlignment="1">
      <alignment vertical="center"/>
      <protection/>
    </xf>
    <xf numFmtId="0" fontId="4" fillId="32" borderId="0" xfId="178" applyFont="1" applyFill="1" applyBorder="1" applyAlignment="1">
      <alignment vertical="center"/>
      <protection/>
    </xf>
    <xf numFmtId="3" fontId="4" fillId="32" borderId="0" xfId="178" applyNumberFormat="1" applyFont="1" applyFill="1" applyBorder="1" applyAlignment="1">
      <alignment vertical="center"/>
      <protection/>
    </xf>
    <xf numFmtId="3" fontId="85" fillId="32" borderId="0" xfId="178" applyNumberFormat="1" applyFont="1" applyFill="1" applyBorder="1" applyAlignment="1">
      <alignment vertical="center"/>
      <protection/>
    </xf>
    <xf numFmtId="49" fontId="85" fillId="32" borderId="0" xfId="178" applyNumberFormat="1" applyFont="1" applyFill="1" applyBorder="1" applyAlignment="1">
      <alignment vertical="center" wrapText="1"/>
      <protection/>
    </xf>
    <xf numFmtId="49" fontId="4" fillId="32" borderId="0" xfId="178" applyNumberFormat="1" applyFont="1" applyFill="1" applyBorder="1" applyAlignment="1">
      <alignment vertical="center" wrapText="1"/>
      <protection/>
    </xf>
    <xf numFmtId="3" fontId="26" fillId="32" borderId="0" xfId="178" applyNumberFormat="1" applyFont="1" applyFill="1" applyBorder="1" applyAlignment="1">
      <alignment vertical="center"/>
      <protection/>
    </xf>
    <xf numFmtId="3" fontId="85" fillId="32" borderId="0" xfId="178" applyNumberFormat="1" applyFont="1" applyFill="1" applyBorder="1" applyAlignment="1">
      <alignment horizontal="right" vertical="center"/>
      <protection/>
    </xf>
    <xf numFmtId="49" fontId="79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49" fontId="79" fillId="32" borderId="16" xfId="0" applyNumberFormat="1" applyFont="1" applyFill="1" applyBorder="1" applyAlignment="1">
      <alignment vertical="center"/>
    </xf>
    <xf numFmtId="0" fontId="11" fillId="32" borderId="13" xfId="0" applyFont="1" applyFill="1" applyBorder="1" applyAlignment="1">
      <alignment vertical="center"/>
    </xf>
    <xf numFmtId="49" fontId="4" fillId="32" borderId="17" xfId="0" applyNumberFormat="1" applyFont="1" applyFill="1" applyBorder="1" applyAlignment="1">
      <alignment vertical="center"/>
    </xf>
    <xf numFmtId="0" fontId="79" fillId="32" borderId="18" xfId="0" applyFont="1" applyFill="1" applyBorder="1" applyAlignment="1">
      <alignment vertical="center" wrapText="1"/>
    </xf>
    <xf numFmtId="49" fontId="4" fillId="32" borderId="20" xfId="0" applyNumberFormat="1" applyFont="1" applyFill="1" applyBorder="1" applyAlignment="1">
      <alignment vertical="center"/>
    </xf>
    <xf numFmtId="0" fontId="4" fillId="32" borderId="15" xfId="0" applyFont="1" applyFill="1" applyBorder="1" applyAlignment="1">
      <alignment vertical="center" wrapText="1"/>
    </xf>
    <xf numFmtId="0" fontId="79" fillId="32" borderId="21" xfId="0" applyFont="1" applyFill="1" applyBorder="1" applyAlignment="1">
      <alignment vertical="center" wrapText="1"/>
    </xf>
    <xf numFmtId="0" fontId="10" fillId="32" borderId="0" xfId="0" applyFont="1" applyFill="1" applyAlignment="1">
      <alignment/>
    </xf>
    <xf numFmtId="10" fontId="10" fillId="32" borderId="0" xfId="0" applyNumberFormat="1" applyFont="1" applyFill="1" applyAlignment="1">
      <alignment/>
    </xf>
    <xf numFmtId="0" fontId="12" fillId="32" borderId="0" xfId="176" applyFont="1" applyFill="1" applyBorder="1" applyAlignment="1">
      <alignment horizontal="right"/>
      <protection/>
    </xf>
    <xf numFmtId="0" fontId="11" fillId="32" borderId="0" xfId="176" applyFont="1" applyFill="1" applyBorder="1" applyAlignment="1">
      <alignment horizontal="right"/>
      <protection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right"/>
    </xf>
    <xf numFmtId="0" fontId="12" fillId="32" borderId="44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horizontal="center" vertical="center"/>
    </xf>
    <xf numFmtId="175" fontId="12" fillId="32" borderId="39" xfId="40" applyNumberFormat="1" applyFont="1" applyFill="1" applyBorder="1" applyAlignment="1">
      <alignment horizontal="center" vertical="center" wrapText="1"/>
    </xf>
    <xf numFmtId="10" fontId="12" fillId="32" borderId="39" xfId="40" applyNumberFormat="1" applyFont="1" applyFill="1" applyBorder="1" applyAlignment="1">
      <alignment horizontal="center" vertical="center" wrapText="1"/>
    </xf>
    <xf numFmtId="0" fontId="12" fillId="32" borderId="39" xfId="0" applyFont="1" applyFill="1" applyBorder="1" applyAlignment="1">
      <alignment horizontal="center" vertical="center" wrapText="1"/>
    </xf>
    <xf numFmtId="0" fontId="12" fillId="32" borderId="44" xfId="0" applyFont="1" applyFill="1" applyBorder="1" applyAlignment="1">
      <alignment vertical="center"/>
    </xf>
    <xf numFmtId="3" fontId="12" fillId="32" borderId="44" xfId="40" applyNumberFormat="1" applyFont="1" applyFill="1" applyBorder="1" applyAlignment="1">
      <alignment vertical="center"/>
    </xf>
    <xf numFmtId="3" fontId="12" fillId="32" borderId="39" xfId="40" applyNumberFormat="1" applyFont="1" applyFill="1" applyBorder="1" applyAlignment="1">
      <alignment vertical="center"/>
    </xf>
    <xf numFmtId="10" fontId="12" fillId="32" borderId="39" xfId="40" applyNumberFormat="1" applyFont="1" applyFill="1" applyBorder="1" applyAlignment="1">
      <alignment vertical="center"/>
    </xf>
    <xf numFmtId="177" fontId="12" fillId="32" borderId="39" xfId="40" applyNumberFormat="1" applyFont="1" applyFill="1" applyBorder="1" applyAlignment="1">
      <alignment horizontal="right" vertical="center" wrapText="1"/>
    </xf>
    <xf numFmtId="0" fontId="12" fillId="32" borderId="45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left" vertical="center"/>
    </xf>
    <xf numFmtId="3" fontId="10" fillId="32" borderId="46" xfId="40" applyNumberFormat="1" applyFont="1" applyFill="1" applyBorder="1" applyAlignment="1">
      <alignment vertical="center"/>
    </xf>
    <xf numFmtId="10" fontId="10" fillId="32" borderId="46" xfId="40" applyNumberFormat="1" applyFont="1" applyFill="1" applyBorder="1" applyAlignment="1">
      <alignment vertical="center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left" vertical="center" wrapText="1"/>
    </xf>
    <xf numFmtId="3" fontId="10" fillId="32" borderId="46" xfId="40" applyNumberFormat="1" applyFont="1" applyFill="1" applyBorder="1" applyAlignment="1">
      <alignment vertical="center" wrapText="1"/>
    </xf>
    <xf numFmtId="0" fontId="12" fillId="32" borderId="47" xfId="0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left" vertical="center"/>
    </xf>
    <xf numFmtId="3" fontId="10" fillId="32" borderId="47" xfId="40" applyNumberFormat="1" applyFont="1" applyFill="1" applyBorder="1" applyAlignment="1">
      <alignment vertical="center"/>
    </xf>
    <xf numFmtId="10" fontId="10" fillId="32" borderId="47" xfId="40" applyNumberFormat="1" applyFont="1" applyFill="1" applyBorder="1" applyAlignment="1">
      <alignment vertical="center"/>
    </xf>
    <xf numFmtId="0" fontId="12" fillId="32" borderId="47" xfId="0" applyFont="1" applyFill="1" applyBorder="1" applyAlignment="1">
      <alignment horizontal="left" vertical="center" wrapText="1"/>
    </xf>
    <xf numFmtId="0" fontId="10" fillId="32" borderId="47" xfId="0" applyFont="1" applyFill="1" applyBorder="1" applyAlignment="1">
      <alignment vertical="center" wrapText="1"/>
    </xf>
    <xf numFmtId="0" fontId="12" fillId="32" borderId="47" xfId="0" applyFont="1" applyFill="1" applyBorder="1" applyAlignment="1">
      <alignment horizontal="left" vertical="center" wrapText="1" indent="1"/>
    </xf>
    <xf numFmtId="3" fontId="12" fillId="32" borderId="47" xfId="40" applyNumberFormat="1" applyFont="1" applyFill="1" applyBorder="1" applyAlignment="1">
      <alignment vertical="center" wrapText="1"/>
    </xf>
    <xf numFmtId="0" fontId="12" fillId="32" borderId="47" xfId="0" applyFont="1" applyFill="1" applyBorder="1" applyAlignment="1">
      <alignment vertical="center" wrapText="1"/>
    </xf>
    <xf numFmtId="0" fontId="12" fillId="32" borderId="47" xfId="0" applyFont="1" applyFill="1" applyBorder="1" applyAlignment="1">
      <alignment horizontal="center" vertical="center"/>
    </xf>
    <xf numFmtId="0" fontId="12" fillId="32" borderId="47" xfId="0" applyFont="1" applyFill="1" applyBorder="1" applyAlignment="1">
      <alignment vertical="center"/>
    </xf>
    <xf numFmtId="3" fontId="10" fillId="32" borderId="47" xfId="40" applyNumberFormat="1" applyFont="1" applyFill="1" applyBorder="1" applyAlignment="1">
      <alignment vertical="center" wrapText="1"/>
    </xf>
    <xf numFmtId="10" fontId="10" fillId="32" borderId="47" xfId="40" applyNumberFormat="1" applyFont="1" applyFill="1" applyBorder="1" applyAlignment="1">
      <alignment vertical="center" wrapText="1"/>
    </xf>
    <xf numFmtId="0" fontId="10" fillId="32" borderId="47" xfId="0" applyFont="1" applyFill="1" applyBorder="1" applyAlignment="1">
      <alignment vertical="center"/>
    </xf>
    <xf numFmtId="0" fontId="10" fillId="32" borderId="48" xfId="0" applyFont="1" applyFill="1" applyBorder="1" applyAlignment="1">
      <alignment vertical="center"/>
    </xf>
    <xf numFmtId="0" fontId="10" fillId="32" borderId="49" xfId="0" applyFont="1" applyFill="1" applyBorder="1" applyAlignment="1">
      <alignment vertical="center" wrapText="1"/>
    </xf>
    <xf numFmtId="3" fontId="10" fillId="32" borderId="50" xfId="40" applyNumberFormat="1" applyFont="1" applyFill="1" applyBorder="1" applyAlignment="1">
      <alignment vertical="center"/>
    </xf>
    <xf numFmtId="10" fontId="10" fillId="32" borderId="50" xfId="40" applyNumberFormat="1" applyFont="1" applyFill="1" applyBorder="1" applyAlignment="1">
      <alignment vertical="center"/>
    </xf>
    <xf numFmtId="0" fontId="12" fillId="32" borderId="48" xfId="0" applyFont="1" applyFill="1" applyBorder="1" applyAlignment="1">
      <alignment horizontal="center" vertical="center" wrapText="1"/>
    </xf>
    <xf numFmtId="3" fontId="12" fillId="32" borderId="48" xfId="40" applyNumberFormat="1" applyFont="1" applyFill="1" applyBorder="1" applyAlignment="1">
      <alignment vertical="center" wrapText="1"/>
    </xf>
    <xf numFmtId="10" fontId="12" fillId="32" borderId="44" xfId="40" applyNumberFormat="1" applyFont="1" applyFill="1" applyBorder="1" applyAlignment="1">
      <alignment vertical="center"/>
    </xf>
    <xf numFmtId="0" fontId="12" fillId="32" borderId="46" xfId="0" applyFont="1" applyFill="1" applyBorder="1" applyAlignment="1">
      <alignment horizontal="center" vertical="center"/>
    </xf>
    <xf numFmtId="0" fontId="12" fillId="32" borderId="45" xfId="0" applyFont="1" applyFill="1" applyBorder="1" applyAlignment="1">
      <alignment horizontal="left" vertical="center"/>
    </xf>
    <xf numFmtId="3" fontId="10" fillId="32" borderId="45" xfId="40" applyNumberFormat="1" applyFont="1" applyFill="1" applyBorder="1" applyAlignment="1">
      <alignment vertical="center"/>
    </xf>
    <xf numFmtId="0" fontId="10" fillId="32" borderId="45" xfId="0" applyFont="1" applyFill="1" applyBorder="1" applyAlignment="1">
      <alignment vertical="center"/>
    </xf>
    <xf numFmtId="0" fontId="10" fillId="32" borderId="51" xfId="0" applyFont="1" applyFill="1" applyBorder="1" applyAlignment="1">
      <alignment vertical="center"/>
    </xf>
    <xf numFmtId="0" fontId="10" fillId="32" borderId="47" xfId="0" applyFont="1" applyFill="1" applyBorder="1" applyAlignment="1">
      <alignment horizontal="center" vertical="center"/>
    </xf>
    <xf numFmtId="0" fontId="10" fillId="32" borderId="51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3" fontId="10" fillId="32" borderId="49" xfId="40" applyNumberFormat="1" applyFont="1" applyFill="1" applyBorder="1" applyAlignment="1">
      <alignment vertical="center"/>
    </xf>
    <xf numFmtId="10" fontId="10" fillId="32" borderId="49" xfId="40" applyNumberFormat="1" applyFont="1" applyFill="1" applyBorder="1" applyAlignment="1">
      <alignment vertical="center"/>
    </xf>
    <xf numFmtId="0" fontId="10" fillId="32" borderId="52" xfId="0" applyFont="1" applyFill="1" applyBorder="1" applyAlignment="1">
      <alignment horizontal="center" vertical="center"/>
    </xf>
    <xf numFmtId="3" fontId="10" fillId="32" borderId="52" xfId="40" applyNumberFormat="1" applyFont="1" applyFill="1" applyBorder="1" applyAlignment="1">
      <alignment vertical="center"/>
    </xf>
    <xf numFmtId="3" fontId="10" fillId="32" borderId="44" xfId="40" applyNumberFormat="1" applyFont="1" applyFill="1" applyBorder="1" applyAlignment="1">
      <alignment vertical="center"/>
    </xf>
    <xf numFmtId="10" fontId="10" fillId="32" borderId="44" xfId="40" applyNumberFormat="1" applyFont="1" applyFill="1" applyBorder="1" applyAlignment="1">
      <alignment vertical="center"/>
    </xf>
    <xf numFmtId="0" fontId="12" fillId="32" borderId="48" xfId="0" applyFont="1" applyFill="1" applyBorder="1" applyAlignment="1">
      <alignment vertical="center"/>
    </xf>
    <xf numFmtId="3" fontId="10" fillId="32" borderId="48" xfId="40" applyNumberFormat="1" applyFont="1" applyFill="1" applyBorder="1" applyAlignment="1">
      <alignment vertical="center"/>
    </xf>
    <xf numFmtId="0" fontId="10" fillId="32" borderId="46" xfId="0" applyFont="1" applyFill="1" applyBorder="1" applyAlignment="1">
      <alignment horizontal="left" vertical="center" wrapText="1"/>
    </xf>
    <xf numFmtId="3" fontId="10" fillId="32" borderId="53" xfId="40" applyNumberFormat="1" applyFont="1" applyFill="1" applyBorder="1" applyAlignment="1">
      <alignment vertical="center"/>
    </xf>
    <xf numFmtId="10" fontId="10" fillId="32" borderId="53" xfId="40" applyNumberFormat="1" applyFont="1" applyFill="1" applyBorder="1" applyAlignment="1">
      <alignment vertical="center"/>
    </xf>
    <xf numFmtId="0" fontId="12" fillId="32" borderId="53" xfId="0" applyFont="1" applyFill="1" applyBorder="1" applyAlignment="1">
      <alignment horizontal="center" vertical="center" wrapText="1"/>
    </xf>
    <xf numFmtId="0" fontId="10" fillId="32" borderId="47" xfId="0" applyFont="1" applyFill="1" applyBorder="1" applyAlignment="1">
      <alignment horizontal="left" vertical="center" wrapText="1"/>
    </xf>
    <xf numFmtId="3" fontId="10" fillId="32" borderId="51" xfId="40" applyNumberFormat="1" applyFont="1" applyFill="1" applyBorder="1" applyAlignment="1">
      <alignment vertical="center"/>
    </xf>
    <xf numFmtId="10" fontId="10" fillId="32" borderId="51" xfId="40" applyNumberFormat="1" applyFont="1" applyFill="1" applyBorder="1" applyAlignment="1">
      <alignment vertical="center"/>
    </xf>
    <xf numFmtId="0" fontId="12" fillId="32" borderId="51" xfId="0" applyFont="1" applyFill="1" applyBorder="1" applyAlignment="1">
      <alignment horizontal="center" vertical="center" wrapText="1"/>
    </xf>
    <xf numFmtId="0" fontId="12" fillId="32" borderId="49" xfId="0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left" vertical="center" wrapText="1"/>
    </xf>
    <xf numFmtId="10" fontId="10" fillId="32" borderId="54" xfId="40" applyNumberFormat="1" applyFont="1" applyFill="1" applyBorder="1" applyAlignment="1">
      <alignment vertical="center"/>
    </xf>
    <xf numFmtId="0" fontId="12" fillId="32" borderId="54" xfId="0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left" vertical="center"/>
    </xf>
    <xf numFmtId="3" fontId="10" fillId="32" borderId="39" xfId="40" applyNumberFormat="1" applyFont="1" applyFill="1" applyBorder="1" applyAlignment="1">
      <alignment vertical="center"/>
    </xf>
    <xf numFmtId="10" fontId="10" fillId="32" borderId="39" xfId="40" applyNumberFormat="1" applyFont="1" applyFill="1" applyBorder="1" applyAlignment="1">
      <alignment vertical="center"/>
    </xf>
    <xf numFmtId="0" fontId="12" fillId="32" borderId="39" xfId="0" applyFont="1" applyFill="1" applyBorder="1" applyAlignment="1">
      <alignment horizontal="center" vertical="center"/>
    </xf>
    <xf numFmtId="0" fontId="10" fillId="32" borderId="48" xfId="0" applyFont="1" applyFill="1" applyBorder="1" applyAlignment="1">
      <alignment horizontal="left" vertical="center" wrapText="1"/>
    </xf>
    <xf numFmtId="3" fontId="10" fillId="32" borderId="54" xfId="40" applyNumberFormat="1" applyFont="1" applyFill="1" applyBorder="1" applyAlignment="1">
      <alignment vertical="center"/>
    </xf>
    <xf numFmtId="0" fontId="10" fillId="32" borderId="52" xfId="0" applyFont="1" applyFill="1" applyBorder="1" applyAlignment="1">
      <alignment horizontal="left" vertical="center" wrapText="1"/>
    </xf>
    <xf numFmtId="0" fontId="10" fillId="32" borderId="44" xfId="0" applyFont="1" applyFill="1" applyBorder="1" applyAlignment="1">
      <alignment vertical="center"/>
    </xf>
    <xf numFmtId="3" fontId="10" fillId="32" borderId="0" xfId="0" applyNumberFormat="1" applyFont="1" applyFill="1" applyAlignment="1">
      <alignment/>
    </xf>
    <xf numFmtId="0" fontId="10" fillId="32" borderId="0" xfId="0" applyFont="1" applyFill="1" applyBorder="1" applyAlignment="1">
      <alignment vertical="center"/>
    </xf>
    <xf numFmtId="3" fontId="12" fillId="32" borderId="0" xfId="40" applyNumberFormat="1" applyFont="1" applyFill="1" applyBorder="1" applyAlignment="1">
      <alignment vertical="center"/>
    </xf>
    <xf numFmtId="10" fontId="12" fillId="32" borderId="0" xfId="40" applyNumberFormat="1" applyFont="1" applyFill="1" applyBorder="1" applyAlignment="1">
      <alignment vertical="center"/>
    </xf>
    <xf numFmtId="3" fontId="12" fillId="32" borderId="46" xfId="40" applyNumberFormat="1" applyFont="1" applyFill="1" applyBorder="1" applyAlignment="1">
      <alignment vertical="center"/>
    </xf>
    <xf numFmtId="10" fontId="12" fillId="32" borderId="46" xfId="40" applyNumberFormat="1" applyFont="1" applyFill="1" applyBorder="1" applyAlignment="1">
      <alignment vertical="center"/>
    </xf>
    <xf numFmtId="3" fontId="79" fillId="32" borderId="46" xfId="47" applyNumberFormat="1" applyFont="1" applyFill="1" applyBorder="1" applyAlignment="1">
      <alignment vertical="center" wrapText="1"/>
    </xf>
    <xf numFmtId="3" fontId="12" fillId="32" borderId="47" xfId="40" applyNumberFormat="1" applyFont="1" applyFill="1" applyBorder="1" applyAlignment="1">
      <alignment vertical="center"/>
    </xf>
    <xf numFmtId="10" fontId="12" fillId="32" borderId="47" xfId="40" applyNumberFormat="1" applyFont="1" applyFill="1" applyBorder="1" applyAlignment="1">
      <alignment vertical="center"/>
    </xf>
    <xf numFmtId="3" fontId="79" fillId="32" borderId="47" xfId="47" applyNumberFormat="1" applyFont="1" applyFill="1" applyBorder="1" applyAlignment="1">
      <alignment vertical="center"/>
    </xf>
    <xf numFmtId="3" fontId="80" fillId="32" borderId="47" xfId="47" applyNumberFormat="1" applyFont="1" applyFill="1" applyBorder="1" applyAlignment="1">
      <alignment vertical="center" wrapText="1"/>
    </xf>
    <xf numFmtId="3" fontId="80" fillId="32" borderId="47" xfId="40" applyNumberFormat="1" applyFont="1" applyFill="1" applyBorder="1" applyAlignment="1">
      <alignment vertical="center"/>
    </xf>
    <xf numFmtId="10" fontId="80" fillId="32" borderId="47" xfId="40" applyNumberFormat="1" applyFont="1" applyFill="1" applyBorder="1" applyAlignment="1">
      <alignment vertical="center"/>
    </xf>
    <xf numFmtId="3" fontId="79" fillId="32" borderId="47" xfId="47" applyNumberFormat="1" applyFont="1" applyFill="1" applyBorder="1" applyAlignment="1">
      <alignment vertical="center" wrapText="1"/>
    </xf>
    <xf numFmtId="3" fontId="10" fillId="32" borderId="47" xfId="47" applyNumberFormat="1" applyFont="1" applyFill="1" applyBorder="1" applyAlignment="1">
      <alignment vertical="center"/>
    </xf>
    <xf numFmtId="3" fontId="80" fillId="32" borderId="48" xfId="47" applyNumberFormat="1" applyFont="1" applyFill="1" applyBorder="1" applyAlignment="1">
      <alignment vertical="center" wrapText="1"/>
    </xf>
    <xf numFmtId="3" fontId="79" fillId="32" borderId="52" xfId="47" applyNumberFormat="1" applyFont="1" applyFill="1" applyBorder="1" applyAlignment="1">
      <alignment vertical="center"/>
    </xf>
    <xf numFmtId="3" fontId="79" fillId="32" borderId="50" xfId="47" applyNumberFormat="1" applyFont="1" applyFill="1" applyBorder="1" applyAlignment="1">
      <alignment vertical="center"/>
    </xf>
    <xf numFmtId="0" fontId="12" fillId="32" borderId="49" xfId="0" applyFont="1" applyFill="1" applyBorder="1" applyAlignment="1">
      <alignment horizontal="center" vertical="center"/>
    </xf>
    <xf numFmtId="3" fontId="79" fillId="32" borderId="50" xfId="47" applyNumberFormat="1" applyFont="1" applyFill="1" applyBorder="1" applyAlignment="1">
      <alignment vertical="center" wrapText="1"/>
    </xf>
    <xf numFmtId="3" fontId="12" fillId="32" borderId="39" xfId="47" applyNumberFormat="1" applyFont="1" applyFill="1" applyBorder="1" applyAlignment="1">
      <alignment vertical="center"/>
    </xf>
    <xf numFmtId="0" fontId="10" fillId="32" borderId="0" xfId="0" applyFont="1" applyFill="1" applyAlignment="1">
      <alignment vertical="center"/>
    </xf>
    <xf numFmtId="10" fontId="10" fillId="32" borderId="0" xfId="0" applyNumberFormat="1" applyFont="1" applyFill="1" applyAlignment="1">
      <alignment vertical="center"/>
    </xf>
    <xf numFmtId="0" fontId="11" fillId="32" borderId="0" xfId="176" applyFont="1" applyFill="1" applyBorder="1" applyAlignment="1">
      <alignment vertical="center"/>
      <protection/>
    </xf>
    <xf numFmtId="0" fontId="12" fillId="32" borderId="0" xfId="0" applyFont="1" applyFill="1" applyAlignment="1">
      <alignment vertical="center"/>
    </xf>
    <xf numFmtId="3" fontId="10" fillId="32" borderId="0" xfId="0" applyNumberFormat="1" applyFont="1" applyFill="1" applyAlignment="1">
      <alignment horizontal="right"/>
    </xf>
    <xf numFmtId="10" fontId="10" fillId="32" borderId="0" xfId="0" applyNumberFormat="1" applyFont="1" applyFill="1" applyAlignment="1">
      <alignment horizontal="right"/>
    </xf>
    <xf numFmtId="0" fontId="10" fillId="32" borderId="55" xfId="0" applyFont="1" applyFill="1" applyBorder="1" applyAlignment="1">
      <alignment vertical="center"/>
    </xf>
    <xf numFmtId="0" fontId="10" fillId="32" borderId="18" xfId="0" applyFont="1" applyFill="1" applyBorder="1" applyAlignment="1">
      <alignment vertical="center" wrapText="1"/>
    </xf>
    <xf numFmtId="0" fontId="10" fillId="32" borderId="56" xfId="0" applyFont="1" applyFill="1" applyBorder="1" applyAlignment="1">
      <alignment vertical="center"/>
    </xf>
    <xf numFmtId="0" fontId="10" fillId="32" borderId="21" xfId="0" applyFont="1" applyFill="1" applyBorder="1" applyAlignment="1">
      <alignment/>
    </xf>
    <xf numFmtId="0" fontId="10" fillId="32" borderId="57" xfId="0" applyFont="1" applyFill="1" applyBorder="1" applyAlignment="1">
      <alignment/>
    </xf>
    <xf numFmtId="0" fontId="10" fillId="32" borderId="52" xfId="0" applyFont="1" applyFill="1" applyBorder="1" applyAlignment="1">
      <alignment/>
    </xf>
    <xf numFmtId="10" fontId="10" fillId="32" borderId="58" xfId="40" applyNumberFormat="1" applyFont="1" applyFill="1" applyBorder="1" applyAlignment="1">
      <alignment vertical="center"/>
    </xf>
    <xf numFmtId="0" fontId="12" fillId="32" borderId="50" xfId="0" applyFont="1" applyFill="1" applyBorder="1" applyAlignment="1">
      <alignment horizontal="center" vertical="center" wrapText="1"/>
    </xf>
    <xf numFmtId="0" fontId="12" fillId="32" borderId="58" xfId="0" applyFont="1" applyFill="1" applyBorder="1" applyAlignment="1">
      <alignment horizontal="center" vertical="center" wrapText="1"/>
    </xf>
    <xf numFmtId="0" fontId="10" fillId="32" borderId="50" xfId="0" applyFont="1" applyFill="1" applyBorder="1" applyAlignment="1">
      <alignment horizontal="left" vertical="center" wrapText="1"/>
    </xf>
    <xf numFmtId="3" fontId="10" fillId="32" borderId="58" xfId="40" applyNumberFormat="1" applyFont="1" applyFill="1" applyBorder="1" applyAlignment="1">
      <alignment vertical="center" wrapText="1"/>
    </xf>
    <xf numFmtId="3" fontId="10" fillId="32" borderId="58" xfId="40" applyNumberFormat="1" applyFont="1" applyFill="1" applyBorder="1" applyAlignment="1">
      <alignment vertical="center"/>
    </xf>
    <xf numFmtId="0" fontId="11" fillId="32" borderId="0" xfId="176" applyFont="1" applyFill="1" applyBorder="1" applyAlignment="1">
      <alignment/>
      <protection/>
    </xf>
    <xf numFmtId="3" fontId="10" fillId="32" borderId="0" xfId="0" applyNumberFormat="1" applyFont="1" applyFill="1" applyAlignment="1">
      <alignment horizontal="center" vertical="center"/>
    </xf>
    <xf numFmtId="10" fontId="10" fillId="32" borderId="0" xfId="0" applyNumberFormat="1" applyFont="1" applyFill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10" fontId="12" fillId="32" borderId="0" xfId="0" applyNumberFormat="1" applyFont="1" applyFill="1" applyAlignment="1">
      <alignment horizontal="center" vertical="center"/>
    </xf>
    <xf numFmtId="3" fontId="10" fillId="32" borderId="0" xfId="0" applyNumberFormat="1" applyFont="1" applyFill="1" applyAlignment="1">
      <alignment horizontal="right" vertical="center"/>
    </xf>
    <xf numFmtId="10" fontId="10" fillId="32" borderId="0" xfId="0" applyNumberFormat="1" applyFont="1" applyFill="1" applyAlignment="1">
      <alignment horizontal="right" vertical="center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 wrapText="1"/>
    </xf>
    <xf numFmtId="10" fontId="12" fillId="32" borderId="13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10" fontId="12" fillId="32" borderId="59" xfId="0" applyNumberFormat="1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horizontal="right" vertical="center"/>
    </xf>
    <xf numFmtId="10" fontId="12" fillId="32" borderId="10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>
      <alignment horizontal="center" vertical="center" wrapText="1"/>
    </xf>
    <xf numFmtId="10" fontId="12" fillId="32" borderId="11" xfId="0" applyNumberFormat="1" applyFont="1" applyFill="1" applyBorder="1" applyAlignment="1">
      <alignment horizontal="right" vertical="center"/>
    </xf>
    <xf numFmtId="0" fontId="12" fillId="32" borderId="10" xfId="0" applyFont="1" applyFill="1" applyBorder="1" applyAlignment="1" quotePrefix="1">
      <alignment horizontal="left"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left" vertical="center"/>
    </xf>
    <xf numFmtId="3" fontId="12" fillId="32" borderId="10" xfId="0" applyNumberFormat="1" applyFont="1" applyFill="1" applyBorder="1" applyAlignment="1">
      <alignment horizontal="right" vertical="center" wrapText="1"/>
    </xf>
    <xf numFmtId="10" fontId="12" fillId="32" borderId="11" xfId="0" applyNumberFormat="1" applyFont="1" applyFill="1" applyBorder="1" applyAlignment="1">
      <alignment horizontal="right" vertical="center" wrapText="1"/>
    </xf>
    <xf numFmtId="0" fontId="12" fillId="32" borderId="17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vertical="center"/>
    </xf>
    <xf numFmtId="0" fontId="12" fillId="32" borderId="15" xfId="0" applyFont="1" applyFill="1" applyBorder="1" applyAlignment="1">
      <alignment vertical="center"/>
    </xf>
    <xf numFmtId="3" fontId="12" fillId="32" borderId="15" xfId="0" applyNumberFormat="1" applyFont="1" applyFill="1" applyBorder="1" applyAlignment="1">
      <alignment horizontal="right" vertical="center"/>
    </xf>
    <xf numFmtId="10" fontId="12" fillId="32" borderId="15" xfId="0" applyNumberFormat="1" applyFont="1" applyFill="1" applyBorder="1" applyAlignment="1">
      <alignment horizontal="right" vertical="center"/>
    </xf>
    <xf numFmtId="10" fontId="12" fillId="32" borderId="22" xfId="0" applyNumberFormat="1" applyFont="1" applyFill="1" applyBorder="1" applyAlignment="1">
      <alignment horizontal="right" vertical="center"/>
    </xf>
    <xf numFmtId="10" fontId="12" fillId="32" borderId="10" xfId="0" applyNumberFormat="1" applyFont="1" applyFill="1" applyBorder="1" applyAlignment="1">
      <alignment horizontal="right" vertical="center" wrapText="1"/>
    </xf>
    <xf numFmtId="3" fontId="10" fillId="32" borderId="0" xfId="0" applyNumberFormat="1" applyFont="1" applyFill="1" applyBorder="1" applyAlignment="1">
      <alignment horizontal="center" vertical="center"/>
    </xf>
    <xf numFmtId="10" fontId="10" fillId="32" borderId="0" xfId="0" applyNumberFormat="1" applyFont="1" applyFill="1" applyBorder="1" applyAlignment="1">
      <alignment horizontal="center" vertical="center"/>
    </xf>
    <xf numFmtId="3" fontId="10" fillId="32" borderId="0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right" vertical="center"/>
    </xf>
    <xf numFmtId="10" fontId="12" fillId="32" borderId="0" xfId="0" applyNumberFormat="1" applyFont="1" applyFill="1" applyAlignment="1">
      <alignment horizontal="right" vertical="center"/>
    </xf>
    <xf numFmtId="10" fontId="10" fillId="32" borderId="0" xfId="0" applyNumberFormat="1" applyFont="1" applyFill="1" applyBorder="1" applyAlignment="1">
      <alignment horizontal="right" vertical="center"/>
    </xf>
    <xf numFmtId="10" fontId="12" fillId="32" borderId="25" xfId="0" applyNumberFormat="1" applyFont="1" applyFill="1" applyBorder="1" applyAlignment="1">
      <alignment horizontal="right" vertical="center"/>
    </xf>
    <xf numFmtId="0" fontId="11" fillId="32" borderId="0" xfId="176" applyFont="1" applyFill="1" applyAlignment="1">
      <alignment vertical="center"/>
      <protection/>
    </xf>
    <xf numFmtId="0" fontId="4" fillId="32" borderId="0" xfId="176" applyFont="1" applyFill="1" applyAlignment="1">
      <alignment vertical="center"/>
      <protection/>
    </xf>
    <xf numFmtId="0" fontId="15" fillId="32" borderId="0" xfId="176" applyFont="1" applyFill="1" applyAlignment="1">
      <alignment horizontal="right" vertical="center"/>
      <protection/>
    </xf>
    <xf numFmtId="0" fontId="15" fillId="32" borderId="0" xfId="176" applyFont="1" applyFill="1" applyAlignment="1">
      <alignment horizontal="right" vertical="center" wrapText="1"/>
      <protection/>
    </xf>
    <xf numFmtId="0" fontId="4" fillId="32" borderId="0" xfId="176" applyFont="1" applyFill="1" applyAlignment="1">
      <alignment vertical="center" wrapText="1"/>
      <protection/>
    </xf>
    <xf numFmtId="0" fontId="4" fillId="32" borderId="0" xfId="176" applyFont="1" applyFill="1" applyAlignment="1">
      <alignment horizontal="right" vertical="center" wrapText="1"/>
      <protection/>
    </xf>
    <xf numFmtId="0" fontId="11" fillId="32" borderId="60" xfId="176" applyFont="1" applyFill="1" applyBorder="1" applyAlignment="1">
      <alignment horizontal="center" vertical="center" wrapText="1"/>
      <protection/>
    </xf>
    <xf numFmtId="0" fontId="4" fillId="32" borderId="44" xfId="176" applyFont="1" applyFill="1" applyBorder="1" applyAlignment="1">
      <alignment horizontal="center" vertical="center" wrapText="1"/>
      <protection/>
    </xf>
    <xf numFmtId="3" fontId="14" fillId="32" borderId="44" xfId="179" applyFont="1" applyFill="1" applyBorder="1" applyAlignment="1">
      <alignment horizontal="center" vertical="center" wrapText="1"/>
      <protection/>
    </xf>
    <xf numFmtId="10" fontId="14" fillId="32" borderId="44" xfId="179" applyNumberFormat="1" applyFont="1" applyFill="1" applyBorder="1" applyAlignment="1">
      <alignment horizontal="center" vertical="center" wrapText="1"/>
      <protection/>
    </xf>
    <xf numFmtId="0" fontId="4" fillId="32" borderId="0" xfId="176" applyFont="1" applyFill="1" applyAlignment="1">
      <alignment horizontal="center" vertical="center" wrapText="1"/>
      <protection/>
    </xf>
    <xf numFmtId="0" fontId="11" fillId="32" borderId="61" xfId="176" applyFont="1" applyFill="1" applyBorder="1" applyAlignment="1">
      <alignment vertical="center"/>
      <protection/>
    </xf>
    <xf numFmtId="3" fontId="11" fillId="32" borderId="46" xfId="47" applyNumberFormat="1" applyFont="1" applyFill="1" applyBorder="1" applyAlignment="1">
      <alignment horizontal="right" vertical="center" wrapText="1"/>
    </xf>
    <xf numFmtId="10" fontId="11" fillId="32" borderId="62" xfId="47" applyNumberFormat="1" applyFont="1" applyFill="1" applyBorder="1" applyAlignment="1">
      <alignment horizontal="right" vertical="center" wrapText="1"/>
    </xf>
    <xf numFmtId="0" fontId="4" fillId="32" borderId="61" xfId="176" applyFont="1" applyFill="1" applyBorder="1" applyAlignment="1">
      <alignment horizontal="left" vertical="center" indent="1"/>
      <protection/>
    </xf>
    <xf numFmtId="3" fontId="4" fillId="32" borderId="46" xfId="47" applyNumberFormat="1" applyFont="1" applyFill="1" applyBorder="1" applyAlignment="1">
      <alignment horizontal="right" vertical="center" wrapText="1"/>
    </xf>
    <xf numFmtId="10" fontId="11" fillId="32" borderId="47" xfId="47" applyNumberFormat="1" applyFont="1" applyFill="1" applyBorder="1" applyAlignment="1">
      <alignment horizontal="right" vertical="center" wrapText="1"/>
    </xf>
    <xf numFmtId="0" fontId="4" fillId="32" borderId="55" xfId="176" applyFont="1" applyFill="1" applyBorder="1" applyAlignment="1">
      <alignment horizontal="left" vertical="center" indent="1"/>
      <protection/>
    </xf>
    <xf numFmtId="3" fontId="4" fillId="32" borderId="50" xfId="47" applyNumberFormat="1" applyFont="1" applyFill="1" applyBorder="1" applyAlignment="1">
      <alignment horizontal="right" vertical="center" wrapText="1"/>
    </xf>
    <xf numFmtId="0" fontId="11" fillId="32" borderId="56" xfId="176" applyFont="1" applyFill="1" applyBorder="1" applyAlignment="1">
      <alignment horizontal="left" vertical="center"/>
      <protection/>
    </xf>
    <xf numFmtId="3" fontId="11" fillId="32" borderId="47" xfId="47" applyNumberFormat="1" applyFont="1" applyFill="1" applyBorder="1" applyAlignment="1">
      <alignment horizontal="right" vertical="center" wrapText="1"/>
    </xf>
    <xf numFmtId="3" fontId="4" fillId="32" borderId="48" xfId="176" applyNumberFormat="1" applyFont="1" applyFill="1" applyBorder="1" applyAlignment="1">
      <alignment vertical="center" wrapText="1"/>
      <protection/>
    </xf>
    <xf numFmtId="10" fontId="11" fillId="32" borderId="49" xfId="47" applyNumberFormat="1" applyFont="1" applyFill="1" applyBorder="1" applyAlignment="1">
      <alignment horizontal="right" vertical="center" wrapText="1"/>
    </xf>
    <xf numFmtId="0" fontId="11" fillId="32" borderId="60" xfId="176" applyFont="1" applyFill="1" applyBorder="1" applyAlignment="1">
      <alignment vertical="center"/>
      <protection/>
    </xf>
    <xf numFmtId="3" fontId="11" fillId="32" borderId="44" xfId="47" applyNumberFormat="1" applyFont="1" applyFill="1" applyBorder="1" applyAlignment="1">
      <alignment horizontal="right" vertical="center" wrapText="1"/>
    </xf>
    <xf numFmtId="10" fontId="11" fillId="32" borderId="44" xfId="47" applyNumberFormat="1" applyFont="1" applyFill="1" applyBorder="1" applyAlignment="1">
      <alignment horizontal="right" vertical="center" wrapText="1"/>
    </xf>
    <xf numFmtId="0" fontId="4" fillId="32" borderId="0" xfId="176" applyFont="1" applyFill="1" applyBorder="1" applyAlignment="1">
      <alignment vertical="center"/>
      <protection/>
    </xf>
    <xf numFmtId="0" fontId="79" fillId="32" borderId="0" xfId="0" applyFont="1" applyFill="1" applyAlignment="1">
      <alignment horizontal="right" vertical="center" wrapText="1"/>
    </xf>
    <xf numFmtId="0" fontId="11" fillId="32" borderId="63" xfId="176" applyFont="1" applyFill="1" applyBorder="1" applyAlignment="1">
      <alignment vertical="center"/>
      <protection/>
    </xf>
    <xf numFmtId="3" fontId="11" fillId="32" borderId="45" xfId="47" applyNumberFormat="1" applyFont="1" applyFill="1" applyBorder="1" applyAlignment="1">
      <alignment horizontal="right" vertical="center" wrapText="1"/>
    </xf>
    <xf numFmtId="10" fontId="4" fillId="32" borderId="47" xfId="47" applyNumberFormat="1" applyFont="1" applyFill="1" applyBorder="1" applyAlignment="1">
      <alignment horizontal="right" vertical="center" wrapText="1"/>
    </xf>
    <xf numFmtId="0" fontId="4" fillId="32" borderId="56" xfId="176" applyFont="1" applyFill="1" applyBorder="1" applyAlignment="1">
      <alignment horizontal="left" vertical="center" indent="1"/>
      <protection/>
    </xf>
    <xf numFmtId="0" fontId="11" fillId="32" borderId="56" xfId="176" applyFont="1" applyFill="1" applyBorder="1" applyAlignment="1">
      <alignment vertical="center"/>
      <protection/>
    </xf>
    <xf numFmtId="3" fontId="4" fillId="32" borderId="47" xfId="47" applyNumberFormat="1" applyFont="1" applyFill="1" applyBorder="1" applyAlignment="1">
      <alignment horizontal="right" vertical="center" wrapText="1"/>
    </xf>
    <xf numFmtId="10" fontId="4" fillId="32" borderId="49" xfId="47" applyNumberFormat="1" applyFont="1" applyFill="1" applyBorder="1" applyAlignment="1">
      <alignment horizontal="right" vertical="center" wrapText="1"/>
    </xf>
    <xf numFmtId="3" fontId="4" fillId="32" borderId="0" xfId="176" applyNumberFormat="1" applyFont="1" applyFill="1" applyAlignment="1">
      <alignment horizontal="right" vertical="center" wrapText="1"/>
      <protection/>
    </xf>
    <xf numFmtId="0" fontId="4" fillId="32" borderId="61" xfId="176" applyFont="1" applyFill="1" applyBorder="1" applyAlignment="1">
      <alignment vertical="center"/>
      <protection/>
    </xf>
    <xf numFmtId="3" fontId="4" fillId="32" borderId="45" xfId="47" applyNumberFormat="1" applyFont="1" applyFill="1" applyBorder="1" applyAlignment="1">
      <alignment horizontal="right" vertical="center" wrapText="1"/>
    </xf>
    <xf numFmtId="10" fontId="4" fillId="32" borderId="45" xfId="47" applyNumberFormat="1" applyFont="1" applyFill="1" applyBorder="1" applyAlignment="1">
      <alignment horizontal="right" vertical="center" wrapText="1"/>
    </xf>
    <xf numFmtId="0" fontId="4" fillId="32" borderId="64" xfId="176" applyFont="1" applyFill="1" applyBorder="1" applyAlignment="1">
      <alignment vertical="center"/>
      <protection/>
    </xf>
    <xf numFmtId="3" fontId="4" fillId="32" borderId="44" xfId="47" applyNumberFormat="1" applyFont="1" applyFill="1" applyBorder="1" applyAlignment="1">
      <alignment horizontal="right" vertical="center" wrapText="1"/>
    </xf>
    <xf numFmtId="0" fontId="79" fillId="32" borderId="0" xfId="0" applyFont="1" applyFill="1" applyAlignment="1">
      <alignment wrapText="1"/>
    </xf>
    <xf numFmtId="177" fontId="30" fillId="32" borderId="10" xfId="47" applyNumberFormat="1" applyFont="1" applyFill="1" applyBorder="1" applyAlignment="1">
      <alignment vertical="center"/>
    </xf>
    <xf numFmtId="177" fontId="30" fillId="32" borderId="25" xfId="47" applyNumberFormat="1" applyFont="1" applyFill="1" applyBorder="1" applyAlignment="1">
      <alignment vertical="center"/>
    </xf>
    <xf numFmtId="177" fontId="30" fillId="32" borderId="37" xfId="47" applyNumberFormat="1" applyFont="1" applyFill="1" applyBorder="1" applyAlignment="1">
      <alignment vertical="center"/>
    </xf>
    <xf numFmtId="3" fontId="14" fillId="32" borderId="11" xfId="47" applyNumberFormat="1" applyFont="1" applyFill="1" applyBorder="1" applyAlignment="1">
      <alignment vertical="center"/>
    </xf>
    <xf numFmtId="3" fontId="14" fillId="32" borderId="10" xfId="47" applyNumberFormat="1" applyFont="1" applyFill="1" applyBorder="1" applyAlignment="1">
      <alignment vertical="center"/>
    </xf>
    <xf numFmtId="3" fontId="14" fillId="32" borderId="23" xfId="47" applyNumberFormat="1" applyFont="1" applyFill="1" applyBorder="1" applyAlignment="1">
      <alignment vertical="center"/>
    </xf>
    <xf numFmtId="177" fontId="7" fillId="32" borderId="10" xfId="47" applyNumberFormat="1" applyFont="1" applyFill="1" applyBorder="1" applyAlignment="1">
      <alignment vertical="center"/>
    </xf>
    <xf numFmtId="177" fontId="7" fillId="32" borderId="14" xfId="47" applyNumberFormat="1" applyFont="1" applyFill="1" applyBorder="1" applyAlignment="1">
      <alignment vertical="center"/>
    </xf>
    <xf numFmtId="177" fontId="7" fillId="32" borderId="41" xfId="47" applyNumberFormat="1" applyFont="1" applyFill="1" applyBorder="1" applyAlignment="1">
      <alignment vertical="center"/>
    </xf>
    <xf numFmtId="177" fontId="7" fillId="32" borderId="18" xfId="47" applyNumberFormat="1" applyFont="1" applyFill="1" applyBorder="1" applyAlignment="1">
      <alignment vertical="center"/>
    </xf>
    <xf numFmtId="177" fontId="30" fillId="32" borderId="11" xfId="47" applyNumberFormat="1" applyFont="1" applyFill="1" applyBorder="1" applyAlignment="1">
      <alignment vertical="center"/>
    </xf>
    <xf numFmtId="177" fontId="30" fillId="32" borderId="28" xfId="47" applyNumberFormat="1" applyFont="1" applyFill="1" applyBorder="1" applyAlignment="1">
      <alignment vertical="center"/>
    </xf>
    <xf numFmtId="177" fontId="30" fillId="32" borderId="65" xfId="47" applyNumberFormat="1" applyFont="1" applyFill="1" applyBorder="1" applyAlignment="1">
      <alignment vertical="center"/>
    </xf>
    <xf numFmtId="177" fontId="7" fillId="32" borderId="26" xfId="47" applyNumberFormat="1" applyFont="1" applyFill="1" applyBorder="1" applyAlignment="1">
      <alignment vertical="center"/>
    </xf>
    <xf numFmtId="177" fontId="7" fillId="32" borderId="37" xfId="47" applyNumberFormat="1" applyFont="1" applyFill="1" applyBorder="1" applyAlignment="1">
      <alignment vertical="center"/>
    </xf>
    <xf numFmtId="177" fontId="7" fillId="32" borderId="38" xfId="47" applyNumberFormat="1" applyFont="1" applyFill="1" applyBorder="1" applyAlignment="1">
      <alignment vertical="center"/>
    </xf>
    <xf numFmtId="177" fontId="7" fillId="32" borderId="25" xfId="47" applyNumberFormat="1" applyFont="1" applyFill="1" applyBorder="1" applyAlignment="1">
      <alignment vertical="center"/>
    </xf>
    <xf numFmtId="177" fontId="7" fillId="32" borderId="23" xfId="47" applyNumberFormat="1" applyFont="1" applyFill="1" applyBorder="1" applyAlignment="1">
      <alignment vertical="center"/>
    </xf>
    <xf numFmtId="3" fontId="14" fillId="32" borderId="33" xfId="47" applyNumberFormat="1" applyFont="1" applyFill="1" applyBorder="1" applyAlignment="1">
      <alignment vertical="center"/>
    </xf>
    <xf numFmtId="3" fontId="14" fillId="32" borderId="28" xfId="47" applyNumberFormat="1" applyFont="1" applyFill="1" applyBorder="1" applyAlignment="1">
      <alignment vertical="center"/>
    </xf>
    <xf numFmtId="3" fontId="14" fillId="32" borderId="27" xfId="47" applyNumberFormat="1" applyFont="1" applyFill="1" applyBorder="1" applyAlignment="1">
      <alignment vertical="center"/>
    </xf>
    <xf numFmtId="177" fontId="13" fillId="32" borderId="10" xfId="47" applyNumberFormat="1" applyFont="1" applyFill="1" applyBorder="1" applyAlignment="1">
      <alignment vertical="center"/>
    </xf>
    <xf numFmtId="0" fontId="4" fillId="32" borderId="10" xfId="176" applyFont="1" applyFill="1" applyBorder="1" applyAlignment="1">
      <alignment vertical="center"/>
      <protection/>
    </xf>
    <xf numFmtId="10" fontId="14" fillId="32" borderId="18" xfId="47" applyNumberFormat="1" applyFont="1" applyFill="1" applyBorder="1" applyAlignment="1">
      <alignment vertical="center"/>
    </xf>
    <xf numFmtId="0" fontId="88" fillId="32" borderId="0" xfId="0" applyFont="1" applyFill="1" applyAlignment="1">
      <alignment horizontal="right" vertical="center"/>
    </xf>
    <xf numFmtId="0" fontId="14" fillId="32" borderId="0" xfId="176" applyFont="1" applyFill="1" applyAlignment="1">
      <alignment vertical="center"/>
      <protection/>
    </xf>
    <xf numFmtId="0" fontId="7" fillId="32" borderId="47" xfId="0" applyFont="1" applyFill="1" applyBorder="1" applyAlignment="1">
      <alignment vertical="center" wrapText="1"/>
    </xf>
    <xf numFmtId="177" fontId="29" fillId="32" borderId="47" xfId="47" applyNumberFormat="1" applyFont="1" applyFill="1" applyBorder="1" applyAlignment="1">
      <alignment vertical="center" wrapText="1"/>
    </xf>
    <xf numFmtId="0" fontId="13" fillId="32" borderId="0" xfId="176" applyFont="1" applyFill="1" applyAlignment="1">
      <alignment vertical="center"/>
      <protection/>
    </xf>
    <xf numFmtId="0" fontId="30" fillId="32" borderId="47" xfId="176" applyFont="1" applyFill="1" applyBorder="1" applyAlignment="1">
      <alignment vertical="center" wrapText="1"/>
      <protection/>
    </xf>
    <xf numFmtId="0" fontId="30" fillId="32" borderId="49" xfId="176" applyFont="1" applyFill="1" applyBorder="1" applyAlignment="1">
      <alignment vertical="center" wrapText="1"/>
      <protection/>
    </xf>
    <xf numFmtId="0" fontId="30" fillId="32" borderId="44" xfId="176" applyFont="1" applyFill="1" applyBorder="1" applyAlignment="1">
      <alignment horizontal="left" vertical="center" wrapText="1"/>
      <protection/>
    </xf>
    <xf numFmtId="175" fontId="4" fillId="32" borderId="0" xfId="47" applyNumberFormat="1" applyFont="1" applyFill="1" applyAlignment="1">
      <alignment vertical="center"/>
    </xf>
    <xf numFmtId="0" fontId="83" fillId="32" borderId="0" xfId="0" applyFont="1" applyFill="1" applyAlignment="1">
      <alignment horizontal="center" vertical="center"/>
    </xf>
    <xf numFmtId="0" fontId="76" fillId="32" borderId="0" xfId="0" applyFont="1" applyFill="1" applyAlignment="1">
      <alignment horizontal="right" vertical="center"/>
    </xf>
    <xf numFmtId="0" fontId="76" fillId="32" borderId="0" xfId="0" applyFont="1" applyFill="1" applyAlignment="1">
      <alignment horizontal="right" vertical="center"/>
    </xf>
    <xf numFmtId="10" fontId="83" fillId="32" borderId="10" xfId="186" applyNumberFormat="1" applyFont="1" applyFill="1" applyBorder="1" applyAlignment="1">
      <alignment horizontal="right" vertical="center"/>
    </xf>
    <xf numFmtId="10" fontId="83" fillId="32" borderId="15" xfId="186" applyNumberFormat="1" applyFont="1" applyFill="1" applyBorder="1" applyAlignment="1">
      <alignment horizontal="right" vertical="center"/>
    </xf>
    <xf numFmtId="10" fontId="76" fillId="32" borderId="18" xfId="0" applyNumberFormat="1" applyFont="1" applyFill="1" applyBorder="1" applyAlignment="1">
      <alignment horizontal="right" vertical="center"/>
    </xf>
    <xf numFmtId="10" fontId="83" fillId="32" borderId="66" xfId="0" applyNumberFormat="1" applyFont="1" applyFill="1" applyBorder="1" applyAlignment="1">
      <alignment horizontal="right" vertical="center"/>
    </xf>
    <xf numFmtId="3" fontId="83" fillId="32" borderId="11" xfId="0" applyNumberFormat="1" applyFont="1" applyFill="1" applyBorder="1" applyAlignment="1">
      <alignment horizontal="right" vertical="center"/>
    </xf>
    <xf numFmtId="3" fontId="76" fillId="32" borderId="11" xfId="0" applyNumberFormat="1" applyFont="1" applyFill="1" applyBorder="1" applyAlignment="1">
      <alignment horizontal="right" vertical="center"/>
    </xf>
    <xf numFmtId="0" fontId="76" fillId="32" borderId="13" xfId="0" applyFont="1" applyFill="1" applyBorder="1" applyAlignment="1">
      <alignment horizontal="center" vertical="center" wrapText="1"/>
    </xf>
    <xf numFmtId="3" fontId="83" fillId="32" borderId="67" xfId="0" applyNumberFormat="1" applyFont="1" applyFill="1" applyBorder="1" applyAlignment="1">
      <alignment horizontal="right" vertical="center"/>
    </xf>
    <xf numFmtId="175" fontId="83" fillId="32" borderId="59" xfId="120" applyNumberFormat="1" applyFont="1" applyFill="1" applyBorder="1" applyAlignment="1">
      <alignment horizontal="center" vertical="center" wrapText="1"/>
    </xf>
    <xf numFmtId="175" fontId="83" fillId="32" borderId="68" xfId="120" applyNumberFormat="1" applyFont="1" applyFill="1" applyBorder="1" applyAlignment="1">
      <alignment horizontal="center" vertical="center" wrapText="1"/>
    </xf>
    <xf numFmtId="175" fontId="83" fillId="32" borderId="19" xfId="120" applyNumberFormat="1" applyFont="1" applyFill="1" applyBorder="1" applyAlignment="1">
      <alignment horizontal="center" vertical="center" wrapText="1"/>
    </xf>
    <xf numFmtId="0" fontId="76" fillId="32" borderId="43" xfId="0" applyFont="1" applyFill="1" applyBorder="1" applyAlignment="1">
      <alignment horizontal="right" vertical="center"/>
    </xf>
    <xf numFmtId="3" fontId="76" fillId="32" borderId="43" xfId="0" applyNumberFormat="1" applyFont="1" applyFill="1" applyBorder="1" applyAlignment="1">
      <alignment horizontal="right" vertical="center"/>
    </xf>
    <xf numFmtId="3" fontId="19" fillId="32" borderId="27" xfId="0" applyNumberFormat="1" applyFont="1" applyFill="1" applyBorder="1" applyAlignment="1">
      <alignment horizontal="right" vertical="center"/>
    </xf>
    <xf numFmtId="3" fontId="20" fillId="32" borderId="27" xfId="0" applyNumberFormat="1" applyFont="1" applyFill="1" applyBorder="1" applyAlignment="1">
      <alignment horizontal="right" vertical="center"/>
    </xf>
    <xf numFmtId="3" fontId="19" fillId="32" borderId="24" xfId="0" applyNumberFormat="1" applyFont="1" applyFill="1" applyBorder="1" applyAlignment="1">
      <alignment horizontal="right" vertical="center"/>
    </xf>
    <xf numFmtId="3" fontId="19" fillId="32" borderId="28" xfId="0" applyNumberFormat="1" applyFont="1" applyFill="1" applyBorder="1" applyAlignment="1">
      <alignment horizontal="right" vertical="center"/>
    </xf>
    <xf numFmtId="3" fontId="19" fillId="32" borderId="22" xfId="0" applyNumberFormat="1" applyFont="1" applyFill="1" applyBorder="1" applyAlignment="1">
      <alignment horizontal="right" vertical="center"/>
    </xf>
    <xf numFmtId="3" fontId="19" fillId="32" borderId="10" xfId="0" applyNumberFormat="1" applyFont="1" applyFill="1" applyBorder="1" applyAlignment="1">
      <alignment horizontal="right" vertical="center"/>
    </xf>
    <xf numFmtId="3" fontId="20" fillId="32" borderId="10" xfId="0" applyNumberFormat="1" applyFont="1" applyFill="1" applyBorder="1" applyAlignment="1">
      <alignment horizontal="right" vertical="center"/>
    </xf>
    <xf numFmtId="3" fontId="20" fillId="32" borderId="28" xfId="0" applyNumberFormat="1" applyFont="1" applyFill="1" applyBorder="1" applyAlignment="1">
      <alignment horizontal="right" vertical="center"/>
    </xf>
    <xf numFmtId="10" fontId="20" fillId="32" borderId="26" xfId="0" applyNumberFormat="1" applyFont="1" applyFill="1" applyBorder="1" applyAlignment="1">
      <alignment horizontal="right" vertical="center"/>
    </xf>
    <xf numFmtId="0" fontId="83" fillId="0" borderId="0" xfId="176" applyFont="1" applyAlignment="1">
      <alignment vertical="center"/>
      <protection/>
    </xf>
    <xf numFmtId="0" fontId="76" fillId="0" borderId="0" xfId="176" applyFont="1" applyAlignment="1">
      <alignment vertical="center"/>
      <protection/>
    </xf>
    <xf numFmtId="0" fontId="90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3" fontId="76" fillId="0" borderId="0" xfId="0" applyNumberFormat="1" applyFont="1" applyFill="1" applyAlignment="1">
      <alignment horizontal="right" vertical="center"/>
    </xf>
    <xf numFmtId="0" fontId="76" fillId="0" borderId="0" xfId="0" applyFont="1" applyFill="1" applyAlignment="1">
      <alignment horizontal="right" vertical="center"/>
    </xf>
    <xf numFmtId="0" fontId="83" fillId="0" borderId="16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/>
    </xf>
    <xf numFmtId="175" fontId="83" fillId="0" borderId="14" xfId="120" applyNumberFormat="1" applyFont="1" applyFill="1" applyBorder="1" applyAlignment="1">
      <alignment horizontal="center" vertical="center" wrapText="1"/>
    </xf>
    <xf numFmtId="0" fontId="83" fillId="0" borderId="1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vertical="center"/>
    </xf>
    <xf numFmtId="3" fontId="83" fillId="0" borderId="10" xfId="0" applyNumberFormat="1" applyFont="1" applyFill="1" applyBorder="1" applyAlignment="1">
      <alignment horizontal="right" vertical="center"/>
    </xf>
    <xf numFmtId="10" fontId="83" fillId="0" borderId="18" xfId="0" applyNumberFormat="1" applyFont="1" applyFill="1" applyBorder="1" applyAlignment="1">
      <alignment horizontal="right" vertical="center"/>
    </xf>
    <xf numFmtId="0" fontId="83" fillId="0" borderId="10" xfId="0" applyFont="1" applyFill="1" applyBorder="1" applyAlignment="1">
      <alignment horizontal="left" vertical="center" wrapText="1"/>
    </xf>
    <xf numFmtId="0" fontId="83" fillId="0" borderId="17" xfId="0" applyFont="1" applyFill="1" applyBorder="1" applyAlignment="1">
      <alignment horizontal="center" vertical="center"/>
    </xf>
    <xf numFmtId="0" fontId="83" fillId="0" borderId="20" xfId="0" applyFont="1" applyFill="1" applyBorder="1" applyAlignment="1">
      <alignment vertical="center"/>
    </xf>
    <xf numFmtId="0" fontId="83" fillId="0" borderId="15" xfId="0" applyFont="1" applyFill="1" applyBorder="1" applyAlignment="1">
      <alignment vertical="center"/>
    </xf>
    <xf numFmtId="10" fontId="83" fillId="0" borderId="21" xfId="0" applyNumberFormat="1" applyFont="1" applyFill="1" applyBorder="1" applyAlignment="1">
      <alignment horizontal="right" vertical="center"/>
    </xf>
    <xf numFmtId="0" fontId="76" fillId="0" borderId="0" xfId="0" applyFont="1" applyAlignment="1">
      <alignment horizontal="right" vertical="center"/>
    </xf>
    <xf numFmtId="3" fontId="76" fillId="32" borderId="0" xfId="0" applyNumberFormat="1" applyFont="1" applyFill="1" applyAlignment="1">
      <alignment vertical="center"/>
    </xf>
    <xf numFmtId="175" fontId="76" fillId="32" borderId="0" xfId="0" applyNumberFormat="1" applyFont="1" applyFill="1" applyAlignment="1">
      <alignment horizontal="right" vertical="center"/>
    </xf>
    <xf numFmtId="3" fontId="83" fillId="32" borderId="0" xfId="0" applyNumberFormat="1" applyFont="1" applyFill="1" applyAlignment="1">
      <alignment horizontal="center" vertical="center"/>
    </xf>
    <xf numFmtId="0" fontId="83" fillId="32" borderId="0" xfId="0" applyFont="1" applyFill="1" applyAlignment="1">
      <alignment horizontal="left" vertical="center" wrapText="1"/>
    </xf>
    <xf numFmtId="0" fontId="83" fillId="32" borderId="0" xfId="0" applyFont="1" applyFill="1" applyAlignment="1">
      <alignment horizontal="center" vertical="center" wrapText="1"/>
    </xf>
    <xf numFmtId="10" fontId="83" fillId="32" borderId="0" xfId="0" applyNumberFormat="1" applyFont="1" applyFill="1" applyBorder="1" applyAlignment="1">
      <alignment horizontal="right" vertical="center"/>
    </xf>
    <xf numFmtId="3" fontId="0" fillId="32" borderId="0" xfId="0" applyNumberFormat="1" applyFont="1" applyFill="1" applyAlignment="1">
      <alignment horizontal="right" vertical="center"/>
    </xf>
    <xf numFmtId="0" fontId="83" fillId="33" borderId="0" xfId="0" applyFont="1" applyFill="1" applyAlignment="1">
      <alignment vertical="center"/>
    </xf>
    <xf numFmtId="3" fontId="76" fillId="33" borderId="0" xfId="0" applyNumberFormat="1" applyFont="1" applyFill="1" applyAlignment="1">
      <alignment horizontal="right" vertical="center"/>
    </xf>
    <xf numFmtId="0" fontId="76" fillId="33" borderId="0" xfId="0" applyFont="1" applyFill="1" applyAlignment="1">
      <alignment horizontal="center" vertical="center"/>
    </xf>
    <xf numFmtId="175" fontId="76" fillId="33" borderId="0" xfId="0" applyNumberFormat="1" applyFont="1" applyFill="1" applyAlignment="1">
      <alignment horizontal="right" vertical="center"/>
    </xf>
    <xf numFmtId="0" fontId="76" fillId="32" borderId="0" xfId="0" applyFont="1" applyFill="1" applyAlignment="1">
      <alignment horizontal="right" vertical="center"/>
    </xf>
    <xf numFmtId="0" fontId="11" fillId="32" borderId="0" xfId="0" applyFont="1" applyFill="1" applyBorder="1" applyAlignment="1">
      <alignment horizontal="center"/>
    </xf>
    <xf numFmtId="0" fontId="80" fillId="32" borderId="0" xfId="0" applyFont="1" applyFill="1" applyBorder="1" applyAlignment="1">
      <alignment/>
    </xf>
    <xf numFmtId="3" fontId="79" fillId="32" borderId="0" xfId="0" applyNumberFormat="1" applyFont="1" applyFill="1" applyBorder="1" applyAlignment="1">
      <alignment/>
    </xf>
    <xf numFmtId="0" fontId="80" fillId="32" borderId="0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23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69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2" fillId="32" borderId="0" xfId="177" applyFont="1" applyFill="1" applyBorder="1" applyAlignment="1">
      <alignment horizontal="right" vertical="center"/>
      <protection/>
    </xf>
    <xf numFmtId="0" fontId="11" fillId="32" borderId="0" xfId="177" applyFont="1" applyFill="1" applyBorder="1" applyAlignment="1">
      <alignment horizontal="right" vertical="center"/>
      <protection/>
    </xf>
    <xf numFmtId="0" fontId="24" fillId="32" borderId="0" xfId="164" applyFont="1" applyFill="1" applyAlignment="1">
      <alignment horizontal="center" vertical="center" wrapText="1"/>
      <protection/>
    </xf>
    <xf numFmtId="0" fontId="11" fillId="32" borderId="0" xfId="164" applyFont="1" applyFill="1" applyAlignment="1">
      <alignment vertical="center"/>
      <protection/>
    </xf>
    <xf numFmtId="0" fontId="11" fillId="32" borderId="0" xfId="0" applyFont="1" applyFill="1" applyAlignment="1">
      <alignment horizontal="center" vertical="center" wrapText="1"/>
    </xf>
    <xf numFmtId="49" fontId="11" fillId="32" borderId="16" xfId="178" applyNumberFormat="1" applyFont="1" applyFill="1" applyBorder="1" applyAlignment="1">
      <alignment horizontal="left" vertical="center"/>
      <protection/>
    </xf>
    <xf numFmtId="49" fontId="11" fillId="32" borderId="13" xfId="178" applyNumberFormat="1" applyFont="1" applyFill="1" applyBorder="1" applyAlignment="1">
      <alignment horizontal="left" vertical="center"/>
      <protection/>
    </xf>
    <xf numFmtId="49" fontId="11" fillId="32" borderId="14" xfId="178" applyNumberFormat="1" applyFont="1" applyFill="1" applyBorder="1" applyAlignment="1">
      <alignment horizontal="left" vertical="center"/>
      <protection/>
    </xf>
    <xf numFmtId="49" fontId="85" fillId="32" borderId="17" xfId="178" applyNumberFormat="1" applyFont="1" applyFill="1" applyBorder="1" applyAlignment="1">
      <alignment horizontal="center" vertical="center" wrapText="1"/>
      <protection/>
    </xf>
    <xf numFmtId="49" fontId="85" fillId="32" borderId="10" xfId="178" applyNumberFormat="1" applyFont="1" applyFill="1" applyBorder="1" applyAlignment="1">
      <alignment horizontal="center" vertical="center" wrapText="1"/>
      <protection/>
    </xf>
    <xf numFmtId="49" fontId="85" fillId="32" borderId="18" xfId="178" applyNumberFormat="1" applyFont="1" applyFill="1" applyBorder="1" applyAlignment="1">
      <alignment horizontal="center" vertical="center" wrapText="1"/>
      <protection/>
    </xf>
    <xf numFmtId="49" fontId="85" fillId="32" borderId="20" xfId="178" applyNumberFormat="1" applyFont="1" applyFill="1" applyBorder="1" applyAlignment="1">
      <alignment horizontal="center" vertical="center" wrapText="1"/>
      <protection/>
    </xf>
    <xf numFmtId="49" fontId="85" fillId="32" borderId="15" xfId="178" applyNumberFormat="1" applyFont="1" applyFill="1" applyBorder="1" applyAlignment="1">
      <alignment horizontal="center" vertical="center" wrapText="1"/>
      <protection/>
    </xf>
    <xf numFmtId="49" fontId="85" fillId="32" borderId="21" xfId="178" applyNumberFormat="1" applyFont="1" applyFill="1" applyBorder="1" applyAlignment="1">
      <alignment horizontal="center" vertical="center" wrapText="1"/>
      <protection/>
    </xf>
    <xf numFmtId="49" fontId="11" fillId="32" borderId="0" xfId="178" applyNumberFormat="1" applyFont="1" applyFill="1" applyAlignment="1">
      <alignment horizontal="center" vertical="center" wrapText="1"/>
      <protection/>
    </xf>
    <xf numFmtId="0" fontId="25" fillId="32" borderId="0" xfId="178" applyFont="1" applyFill="1" applyAlignment="1">
      <alignment horizontal="center" vertical="center"/>
      <protection/>
    </xf>
    <xf numFmtId="0" fontId="11" fillId="32" borderId="23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51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 vertical="center"/>
    </xf>
    <xf numFmtId="179" fontId="4" fillId="32" borderId="10" xfId="164" applyNumberFormat="1" applyFont="1" applyFill="1" applyBorder="1" applyAlignment="1">
      <alignment horizontal="left" vertical="center" wrapText="1"/>
      <protection/>
    </xf>
    <xf numFmtId="179" fontId="11" fillId="32" borderId="10" xfId="164" applyNumberFormat="1" applyFont="1" applyFill="1" applyBorder="1" applyAlignment="1">
      <alignment horizontal="center" vertical="center"/>
      <protection/>
    </xf>
    <xf numFmtId="179" fontId="11" fillId="32" borderId="23" xfId="164" applyNumberFormat="1" applyFont="1" applyFill="1" applyBorder="1" applyAlignment="1">
      <alignment horizontal="center" vertical="center"/>
      <protection/>
    </xf>
    <xf numFmtId="179" fontId="11" fillId="32" borderId="11" xfId="164" applyNumberFormat="1" applyFont="1" applyFill="1" applyBorder="1" applyAlignment="1">
      <alignment horizontal="center" vertical="center"/>
      <protection/>
    </xf>
    <xf numFmtId="179" fontId="11" fillId="32" borderId="10" xfId="164" applyNumberFormat="1" applyFont="1" applyFill="1" applyBorder="1" applyAlignment="1">
      <alignment horizontal="center" vertical="center" wrapText="1"/>
      <protection/>
    </xf>
    <xf numFmtId="10" fontId="4" fillId="32" borderId="10" xfId="164" applyNumberFormat="1" applyFont="1" applyFill="1" applyBorder="1" applyAlignment="1">
      <alignment horizontal="center" vertical="center"/>
      <protection/>
    </xf>
    <xf numFmtId="0" fontId="4" fillId="32" borderId="10" xfId="164" applyFont="1" applyFill="1" applyBorder="1" applyAlignment="1">
      <alignment horizontal="center" vertical="center"/>
      <protection/>
    </xf>
    <xf numFmtId="49" fontId="27" fillId="32" borderId="0" xfId="164" applyNumberFormat="1" applyFont="1" applyFill="1" applyAlignment="1">
      <alignment horizontal="right"/>
      <protection/>
    </xf>
    <xf numFmtId="0" fontId="12" fillId="32" borderId="0" xfId="164" applyFont="1" applyFill="1" applyAlignment="1">
      <alignment horizontal="center"/>
      <protection/>
    </xf>
    <xf numFmtId="0" fontId="11" fillId="32" borderId="0" xfId="164" applyFont="1" applyFill="1" applyAlignment="1">
      <alignment horizontal="center" vertical="center" wrapText="1"/>
      <protection/>
    </xf>
    <xf numFmtId="0" fontId="11" fillId="32" borderId="34" xfId="164" applyFont="1" applyFill="1" applyBorder="1" applyAlignment="1">
      <alignment horizontal="center" vertical="top" wrapText="1"/>
      <protection/>
    </xf>
    <xf numFmtId="0" fontId="11" fillId="32" borderId="0" xfId="164" applyFont="1" applyFill="1" applyAlignment="1">
      <alignment horizontal="center"/>
      <protection/>
    </xf>
    <xf numFmtId="0" fontId="4" fillId="32" borderId="25" xfId="164" applyFont="1" applyFill="1" applyBorder="1" applyAlignment="1">
      <alignment horizontal="center" vertical="top" wrapText="1"/>
      <protection/>
    </xf>
    <xf numFmtId="0" fontId="4" fillId="32" borderId="35" xfId="164" applyFont="1" applyFill="1" applyBorder="1" applyAlignment="1">
      <alignment horizontal="center" vertical="top" wrapText="1"/>
      <protection/>
    </xf>
    <xf numFmtId="0" fontId="4" fillId="32" borderId="19" xfId="164" applyFont="1" applyFill="1" applyBorder="1" applyAlignment="1">
      <alignment horizontal="center" vertical="top" wrapText="1"/>
      <protection/>
    </xf>
    <xf numFmtId="3" fontId="4" fillId="32" borderId="25" xfId="164" applyNumberFormat="1" applyFont="1" applyFill="1" applyBorder="1" applyAlignment="1">
      <alignment horizontal="center" vertical="top" wrapText="1"/>
      <protection/>
    </xf>
    <xf numFmtId="3" fontId="4" fillId="32" borderId="35" xfId="164" applyNumberFormat="1" applyFont="1" applyFill="1" applyBorder="1" applyAlignment="1">
      <alignment horizontal="center" vertical="top" wrapText="1"/>
      <protection/>
    </xf>
    <xf numFmtId="3" fontId="4" fillId="32" borderId="19" xfId="164" applyNumberFormat="1" applyFont="1" applyFill="1" applyBorder="1" applyAlignment="1">
      <alignment horizontal="center" vertical="top" wrapText="1"/>
      <protection/>
    </xf>
    <xf numFmtId="0" fontId="4" fillId="32" borderId="10" xfId="164" applyFont="1" applyFill="1" applyBorder="1" applyAlignment="1">
      <alignment horizontal="center" vertical="top" wrapText="1"/>
      <protection/>
    </xf>
    <xf numFmtId="3" fontId="4" fillId="32" borderId="10" xfId="164" applyNumberFormat="1" applyFont="1" applyFill="1" applyBorder="1" applyAlignment="1">
      <alignment horizontal="center" vertical="top" wrapText="1"/>
      <protection/>
    </xf>
    <xf numFmtId="0" fontId="4" fillId="32" borderId="10" xfId="164" applyFont="1" applyFill="1" applyBorder="1" applyAlignment="1">
      <alignment horizontal="center" vertical="center" wrapText="1"/>
      <protection/>
    </xf>
    <xf numFmtId="3" fontId="4" fillId="32" borderId="10" xfId="164" applyNumberFormat="1" applyFont="1" applyFill="1" applyBorder="1" applyAlignment="1">
      <alignment horizontal="center" vertical="center" wrapText="1"/>
      <protection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 horizontal="center" vertical="center"/>
    </xf>
    <xf numFmtId="0" fontId="11" fillId="32" borderId="43" xfId="176" applyFont="1" applyFill="1" applyBorder="1" applyAlignment="1">
      <alignment horizontal="right"/>
      <protection/>
    </xf>
    <xf numFmtId="0" fontId="10" fillId="32" borderId="0" xfId="0" applyFont="1" applyFill="1" applyAlignment="1">
      <alignment horizontal="right"/>
    </xf>
    <xf numFmtId="0" fontId="11" fillId="32" borderId="0" xfId="176" applyFont="1" applyFill="1" applyBorder="1" applyAlignment="1">
      <alignment horizontal="right"/>
      <protection/>
    </xf>
    <xf numFmtId="0" fontId="11" fillId="32" borderId="0" xfId="176" applyFont="1" applyFill="1" applyAlignment="1">
      <alignment horizontal="center" vertical="center" wrapText="1"/>
      <protection/>
    </xf>
    <xf numFmtId="0" fontId="31" fillId="32" borderId="13" xfId="176" applyFont="1" applyFill="1" applyBorder="1" applyAlignment="1">
      <alignment horizontal="center" vertical="center" wrapText="1"/>
      <protection/>
    </xf>
    <xf numFmtId="0" fontId="31" fillId="32" borderId="10" xfId="176" applyFont="1" applyFill="1" applyBorder="1" applyAlignment="1">
      <alignment horizontal="center" vertical="center" wrapText="1"/>
      <protection/>
    </xf>
    <xf numFmtId="0" fontId="31" fillId="32" borderId="15" xfId="176" applyFont="1" applyFill="1" applyBorder="1" applyAlignment="1">
      <alignment horizontal="center" vertical="center" wrapText="1"/>
      <protection/>
    </xf>
    <xf numFmtId="0" fontId="13" fillId="32" borderId="16" xfId="176" applyFont="1" applyFill="1" applyBorder="1" applyAlignment="1">
      <alignment horizontal="center" vertical="center" wrapText="1"/>
      <protection/>
    </xf>
    <xf numFmtId="0" fontId="13" fillId="32" borderId="17" xfId="176" applyFont="1" applyFill="1" applyBorder="1" applyAlignment="1">
      <alignment horizontal="center" vertical="center" wrapText="1"/>
      <protection/>
    </xf>
    <xf numFmtId="0" fontId="13" fillId="32" borderId="20" xfId="176" applyFont="1" applyFill="1" applyBorder="1" applyAlignment="1">
      <alignment horizontal="center" vertical="center" wrapText="1"/>
      <protection/>
    </xf>
    <xf numFmtId="0" fontId="31" fillId="32" borderId="59" xfId="176" applyFont="1" applyFill="1" applyBorder="1" applyAlignment="1">
      <alignment horizontal="center" vertical="center" wrapText="1"/>
      <protection/>
    </xf>
    <xf numFmtId="0" fontId="31" fillId="32" borderId="11" xfId="176" applyFont="1" applyFill="1" applyBorder="1" applyAlignment="1">
      <alignment horizontal="center" vertical="center" wrapText="1"/>
      <protection/>
    </xf>
    <xf numFmtId="0" fontId="31" fillId="32" borderId="22" xfId="176" applyFont="1" applyFill="1" applyBorder="1" applyAlignment="1">
      <alignment horizontal="center" vertical="center" wrapText="1"/>
      <protection/>
    </xf>
    <xf numFmtId="0" fontId="32" fillId="32" borderId="13" xfId="176" applyFont="1" applyFill="1" applyBorder="1" applyAlignment="1">
      <alignment horizontal="center" vertical="center"/>
      <protection/>
    </xf>
    <xf numFmtId="0" fontId="32" fillId="32" borderId="14" xfId="176" applyFont="1" applyFill="1" applyBorder="1" applyAlignment="1">
      <alignment horizontal="center" vertical="center"/>
      <protection/>
    </xf>
    <xf numFmtId="0" fontId="32" fillId="32" borderId="10" xfId="176" applyFont="1" applyFill="1" applyBorder="1" applyAlignment="1">
      <alignment horizontal="center" vertical="center" wrapText="1"/>
      <protection/>
    </xf>
    <xf numFmtId="0" fontId="32" fillId="32" borderId="15" xfId="176" applyFont="1" applyFill="1" applyBorder="1" applyAlignment="1">
      <alignment horizontal="center" vertical="center" wrapText="1"/>
      <protection/>
    </xf>
    <xf numFmtId="0" fontId="32" fillId="32" borderId="18" xfId="176" applyFont="1" applyFill="1" applyBorder="1" applyAlignment="1">
      <alignment horizontal="center" vertical="center" wrapText="1"/>
      <protection/>
    </xf>
    <xf numFmtId="0" fontId="32" fillId="32" borderId="21" xfId="176" applyFont="1" applyFill="1" applyBorder="1" applyAlignment="1">
      <alignment horizontal="center" vertical="center" wrapText="1"/>
      <protection/>
    </xf>
    <xf numFmtId="0" fontId="11" fillId="32" borderId="0" xfId="176" applyFont="1" applyFill="1" applyAlignment="1">
      <alignment horizontal="right" vertical="center"/>
      <protection/>
    </xf>
    <xf numFmtId="0" fontId="13" fillId="32" borderId="59" xfId="176" applyFont="1" applyFill="1" applyBorder="1" applyAlignment="1">
      <alignment horizontal="center" vertical="center" wrapText="1"/>
      <protection/>
    </xf>
    <xf numFmtId="0" fontId="13" fillId="32" borderId="11" xfId="176" applyFont="1" applyFill="1" applyBorder="1" applyAlignment="1">
      <alignment horizontal="center" vertical="center" wrapText="1"/>
      <protection/>
    </xf>
    <xf numFmtId="0" fontId="13" fillId="32" borderId="22" xfId="176" applyFont="1" applyFill="1" applyBorder="1" applyAlignment="1">
      <alignment horizontal="center" vertical="center" wrapText="1"/>
      <protection/>
    </xf>
    <xf numFmtId="0" fontId="14" fillId="32" borderId="13" xfId="176" applyFont="1" applyFill="1" applyBorder="1" applyAlignment="1">
      <alignment horizontal="center" vertical="center"/>
      <protection/>
    </xf>
    <xf numFmtId="0" fontId="14" fillId="32" borderId="68" xfId="176" applyFont="1" applyFill="1" applyBorder="1" applyAlignment="1">
      <alignment horizontal="center" vertical="center"/>
      <protection/>
    </xf>
    <xf numFmtId="0" fontId="13" fillId="32" borderId="14" xfId="176" applyFont="1" applyFill="1" applyBorder="1" applyAlignment="1">
      <alignment horizontal="center" vertical="center" wrapText="1"/>
      <protection/>
    </xf>
    <xf numFmtId="0" fontId="13" fillId="32" borderId="18" xfId="176" applyFont="1" applyFill="1" applyBorder="1" applyAlignment="1">
      <alignment horizontal="center" vertical="center" wrapText="1"/>
      <protection/>
    </xf>
    <xf numFmtId="0" fontId="13" fillId="32" borderId="21" xfId="176" applyFont="1" applyFill="1" applyBorder="1" applyAlignment="1">
      <alignment horizontal="center" vertical="center" wrapText="1"/>
      <protection/>
    </xf>
    <xf numFmtId="0" fontId="14" fillId="32" borderId="10" xfId="176" applyFont="1" applyFill="1" applyBorder="1" applyAlignment="1">
      <alignment horizontal="center" vertical="center" wrapText="1"/>
      <protection/>
    </xf>
    <xf numFmtId="0" fontId="14" fillId="32" borderId="15" xfId="176" applyFont="1" applyFill="1" applyBorder="1" applyAlignment="1">
      <alignment horizontal="center" vertical="center" wrapText="1"/>
      <protection/>
    </xf>
    <xf numFmtId="0" fontId="14" fillId="32" borderId="23" xfId="176" applyFont="1" applyFill="1" applyBorder="1" applyAlignment="1">
      <alignment horizontal="center" vertical="center" wrapText="1"/>
      <protection/>
    </xf>
    <xf numFmtId="0" fontId="14" fillId="32" borderId="24" xfId="176" applyFont="1" applyFill="1" applyBorder="1" applyAlignment="1">
      <alignment horizontal="center" vertical="center" wrapText="1"/>
      <protection/>
    </xf>
    <xf numFmtId="0" fontId="4" fillId="32" borderId="0" xfId="176" applyFont="1" applyFill="1" applyAlignment="1">
      <alignment horizontal="center" vertical="center"/>
      <protection/>
    </xf>
    <xf numFmtId="0" fontId="76" fillId="32" borderId="43" xfId="0" applyFont="1" applyFill="1" applyBorder="1" applyAlignment="1">
      <alignment vertical="center"/>
    </xf>
    <xf numFmtId="0" fontId="0" fillId="32" borderId="43" xfId="0" applyFill="1" applyBorder="1" applyAlignment="1">
      <alignment vertical="center"/>
    </xf>
    <xf numFmtId="0" fontId="81" fillId="32" borderId="0" xfId="176" applyFont="1" applyFill="1" applyAlignment="1">
      <alignment horizontal="right" vertical="center"/>
      <protection/>
    </xf>
    <xf numFmtId="0" fontId="83" fillId="32" borderId="43" xfId="0" applyFont="1" applyFill="1" applyBorder="1" applyAlignment="1">
      <alignment vertical="center"/>
    </xf>
    <xf numFmtId="0" fontId="83" fillId="32" borderId="0" xfId="0" applyFont="1" applyFill="1" applyAlignment="1">
      <alignment horizontal="center" vertical="center"/>
    </xf>
    <xf numFmtId="0" fontId="87" fillId="32" borderId="43" xfId="0" applyFont="1" applyFill="1" applyBorder="1" applyAlignment="1">
      <alignment vertical="center"/>
    </xf>
    <xf numFmtId="0" fontId="76" fillId="32" borderId="0" xfId="0" applyFont="1" applyFill="1" applyAlignment="1">
      <alignment horizontal="right" vertical="center"/>
    </xf>
    <xf numFmtId="0" fontId="0" fillId="32" borderId="43" xfId="0" applyFont="1" applyFill="1" applyBorder="1" applyAlignment="1">
      <alignment vertical="center"/>
    </xf>
    <xf numFmtId="0" fontId="76" fillId="32" borderId="73" xfId="0" applyFont="1" applyFill="1" applyBorder="1" applyAlignment="1">
      <alignment vertical="center"/>
    </xf>
    <xf numFmtId="0" fontId="83" fillId="0" borderId="0" xfId="0" applyFont="1" applyAlignment="1">
      <alignment horizontal="center" vertical="center" wrapText="1"/>
    </xf>
    <xf numFmtId="0" fontId="76" fillId="0" borderId="0" xfId="176" applyFont="1" applyAlignment="1">
      <alignment horizontal="right" vertical="center"/>
      <protection/>
    </xf>
    <xf numFmtId="0" fontId="16" fillId="32" borderId="0" xfId="176" applyFont="1" applyFill="1" applyAlignment="1">
      <alignment horizontal="right" vertical="center"/>
      <protection/>
    </xf>
    <xf numFmtId="0" fontId="19" fillId="32" borderId="0" xfId="0" applyFont="1" applyFill="1" applyAlignment="1">
      <alignment horizontal="center" vertical="center"/>
    </xf>
    <xf numFmtId="0" fontId="18" fillId="32" borderId="0" xfId="0" applyFont="1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83" fillId="32" borderId="74" xfId="0" applyFont="1" applyFill="1" applyBorder="1" applyAlignment="1">
      <alignment horizontal="center" vertical="center" wrapText="1"/>
    </xf>
    <xf numFmtId="0" fontId="83" fillId="32" borderId="75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8" fillId="32" borderId="0" xfId="0" applyFont="1" applyFill="1" applyAlignment="1">
      <alignment horizontal="right"/>
    </xf>
    <xf numFmtId="0" fontId="11" fillId="32" borderId="0" xfId="0" applyFont="1" applyFill="1" applyBorder="1" applyAlignment="1">
      <alignment horizontal="right"/>
    </xf>
    <xf numFmtId="0" fontId="80" fillId="32" borderId="0" xfId="0" applyFont="1" applyFill="1" applyBorder="1" applyAlignment="1">
      <alignment horizontal="center"/>
    </xf>
  </cellXfs>
  <cellStyles count="17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[0] 2" xfId="42"/>
    <cellStyle name="Ezres [0] 2 2" xfId="43"/>
    <cellStyle name="Ezres [0] 2 2 2" xfId="44"/>
    <cellStyle name="Ezres [0] 2 3" xfId="45"/>
    <cellStyle name="Ezres [0] 2 4" xfId="46"/>
    <cellStyle name="Ezres 10" xfId="47"/>
    <cellStyle name="Ezres 10 2" xfId="48"/>
    <cellStyle name="Ezres 10 2 2" xfId="49"/>
    <cellStyle name="Ezres 10 3" xfId="50"/>
    <cellStyle name="Ezres 10 4" xfId="51"/>
    <cellStyle name="Ezres 11" xfId="52"/>
    <cellStyle name="Ezres 11 2" xfId="53"/>
    <cellStyle name="Ezres 11 2 2" xfId="54"/>
    <cellStyle name="Ezres 11 3" xfId="55"/>
    <cellStyle name="Ezres 11 4" xfId="56"/>
    <cellStyle name="Ezres 12" xfId="57"/>
    <cellStyle name="Ezres 12 2" xfId="58"/>
    <cellStyle name="Ezres 12 2 2" xfId="59"/>
    <cellStyle name="Ezres 12 3" xfId="60"/>
    <cellStyle name="Ezres 12 4" xfId="61"/>
    <cellStyle name="Ezres 13" xfId="62"/>
    <cellStyle name="Ezres 13 2" xfId="63"/>
    <cellStyle name="Ezres 13 2 2" xfId="64"/>
    <cellStyle name="Ezres 13 3" xfId="65"/>
    <cellStyle name="Ezres 13 4" xfId="66"/>
    <cellStyle name="Ezres 14" xfId="67"/>
    <cellStyle name="Ezres 14 2" xfId="68"/>
    <cellStyle name="Ezres 14 2 2" xfId="69"/>
    <cellStyle name="Ezres 14 3" xfId="70"/>
    <cellStyle name="Ezres 14 4" xfId="71"/>
    <cellStyle name="Ezres 15" xfId="72"/>
    <cellStyle name="Ezres 15 2" xfId="73"/>
    <cellStyle name="Ezres 15 2 2" xfId="74"/>
    <cellStyle name="Ezres 15 3" xfId="75"/>
    <cellStyle name="Ezres 15 4" xfId="76"/>
    <cellStyle name="Ezres 16" xfId="77"/>
    <cellStyle name="Ezres 16 2" xfId="78"/>
    <cellStyle name="Ezres 16 2 2" xfId="79"/>
    <cellStyle name="Ezres 16 3" xfId="80"/>
    <cellStyle name="Ezres 16 4" xfId="81"/>
    <cellStyle name="Ezres 17" xfId="82"/>
    <cellStyle name="Ezres 17 2" xfId="83"/>
    <cellStyle name="Ezres 18" xfId="84"/>
    <cellStyle name="Ezres 18 2" xfId="85"/>
    <cellStyle name="Ezres 19" xfId="86"/>
    <cellStyle name="Ezres 2" xfId="87"/>
    <cellStyle name="Ezres 2 2" xfId="88"/>
    <cellStyle name="Ezres 2 2 2" xfId="89"/>
    <cellStyle name="Ezres 2 2 2 2" xfId="90"/>
    <cellStyle name="Ezres 2 2 3" xfId="91"/>
    <cellStyle name="Ezres 2 2 4" xfId="92"/>
    <cellStyle name="Ezres 2 3" xfId="93"/>
    <cellStyle name="Ezres 2 3 2" xfId="94"/>
    <cellStyle name="Ezres 2 4" xfId="95"/>
    <cellStyle name="Ezres 2 5" xfId="96"/>
    <cellStyle name="Ezres 20" xfId="97"/>
    <cellStyle name="Ezres 21" xfId="98"/>
    <cellStyle name="Ezres 22" xfId="99"/>
    <cellStyle name="Ezres 23" xfId="100"/>
    <cellStyle name="Ezres 24" xfId="101"/>
    <cellStyle name="Ezres 25" xfId="102"/>
    <cellStyle name="Ezres 26" xfId="103"/>
    <cellStyle name="Ezres 27" xfId="104"/>
    <cellStyle name="Ezres 28" xfId="105"/>
    <cellStyle name="Ezres 29" xfId="106"/>
    <cellStyle name="Ezres 3" xfId="107"/>
    <cellStyle name="Ezres 3 2" xfId="108"/>
    <cellStyle name="Ezres 3 2 2" xfId="109"/>
    <cellStyle name="Ezres 3 2 2 2" xfId="110"/>
    <cellStyle name="Ezres 3 2 3" xfId="111"/>
    <cellStyle name="Ezres 3 2 4" xfId="112"/>
    <cellStyle name="Ezres 3 3" xfId="113"/>
    <cellStyle name="Ezres 3 3 2" xfId="114"/>
    <cellStyle name="Ezres 3 4" xfId="115"/>
    <cellStyle name="Ezres 3 5" xfId="116"/>
    <cellStyle name="Ezres 30" xfId="117"/>
    <cellStyle name="Ezres 31" xfId="118"/>
    <cellStyle name="Ezres 32" xfId="119"/>
    <cellStyle name="Ezres 4" xfId="120"/>
    <cellStyle name="Ezres 4 2" xfId="121"/>
    <cellStyle name="Ezres 4 2 2" xfId="122"/>
    <cellStyle name="Ezres 4 3" xfId="123"/>
    <cellStyle name="Ezres 4 4" xfId="124"/>
    <cellStyle name="Ezres 5" xfId="125"/>
    <cellStyle name="Ezres 5 2" xfId="126"/>
    <cellStyle name="Ezres 5 2 2" xfId="127"/>
    <cellStyle name="Ezres 5 3" xfId="128"/>
    <cellStyle name="Ezres 5 4" xfId="129"/>
    <cellStyle name="Ezres 6" xfId="130"/>
    <cellStyle name="Ezres 6 2" xfId="131"/>
    <cellStyle name="Ezres 6 2 2" xfId="132"/>
    <cellStyle name="Ezres 6 3" xfId="133"/>
    <cellStyle name="Ezres 6 4" xfId="134"/>
    <cellStyle name="Ezres 7" xfId="135"/>
    <cellStyle name="Ezres 7 2" xfId="136"/>
    <cellStyle name="Ezres 7 2 2" xfId="137"/>
    <cellStyle name="Ezres 7 3" xfId="138"/>
    <cellStyle name="Ezres 7 4" xfId="139"/>
    <cellStyle name="Ezres 8" xfId="140"/>
    <cellStyle name="Ezres 8 2" xfId="141"/>
    <cellStyle name="Ezres 8 2 2" xfId="142"/>
    <cellStyle name="Ezres 8 3" xfId="143"/>
    <cellStyle name="Ezres 8 4" xfId="144"/>
    <cellStyle name="Ezres 9" xfId="145"/>
    <cellStyle name="Ezres 9 2" xfId="146"/>
    <cellStyle name="Ezres 9 2 2" xfId="147"/>
    <cellStyle name="Ezres 9 3" xfId="148"/>
    <cellStyle name="Ezres 9 4" xfId="149"/>
    <cellStyle name="Figyelmeztetés" xfId="150"/>
    <cellStyle name="Hyperlink" xfId="151"/>
    <cellStyle name="Hivatkozott cella" xfId="152"/>
    <cellStyle name="Jegyzet" xfId="153"/>
    <cellStyle name="Jelölőszín 1" xfId="154"/>
    <cellStyle name="Jelölőszín 2" xfId="155"/>
    <cellStyle name="Jelölőszín 3" xfId="156"/>
    <cellStyle name="Jelölőszín 4" xfId="157"/>
    <cellStyle name="Jelölőszín 5" xfId="158"/>
    <cellStyle name="Jelölőszín 6" xfId="159"/>
    <cellStyle name="Jó" xfId="160"/>
    <cellStyle name="Kimenet" xfId="161"/>
    <cellStyle name="Followed Hyperlink" xfId="162"/>
    <cellStyle name="Magyarázó szöveg" xfId="163"/>
    <cellStyle name="Normál 2" xfId="164"/>
    <cellStyle name="Normál 2 2" xfId="165"/>
    <cellStyle name="Normál 2 2 2" xfId="166"/>
    <cellStyle name="Normál 2_mellékletek 2012. évi zárás.auditált" xfId="167"/>
    <cellStyle name="Normál 3" xfId="168"/>
    <cellStyle name="Normál 3 2" xfId="169"/>
    <cellStyle name="Normál 4" xfId="170"/>
    <cellStyle name="Normál 4 2" xfId="171"/>
    <cellStyle name="Normál 5" xfId="172"/>
    <cellStyle name="Normál 6" xfId="173"/>
    <cellStyle name="Normál 7" xfId="174"/>
    <cellStyle name="Normál 8" xfId="175"/>
    <cellStyle name="Normál_ktgvetés_mell0203_vég" xfId="176"/>
    <cellStyle name="Normál_ktgvetés_mell0203_vég 2" xfId="177"/>
    <cellStyle name="Normál_mellékletek 2012. évi zárás.auditált" xfId="178"/>
    <cellStyle name="Normál_mérleg" xfId="179"/>
    <cellStyle name="Összesen" xfId="180"/>
    <cellStyle name="Currency" xfId="181"/>
    <cellStyle name="Currency [0]" xfId="182"/>
    <cellStyle name="Rossz" xfId="183"/>
    <cellStyle name="Semleges" xfId="184"/>
    <cellStyle name="Számítás" xfId="185"/>
    <cellStyle name="Percent" xfId="186"/>
    <cellStyle name="Százalék 2" xfId="187"/>
    <cellStyle name="Százalék 3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ZGY&#368;L&#201;S\El&#337;terjeszt&#233;sek\2018\03_01\koltsegvetes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zab&#243;%20Enik&#337;\V.%20ker&#252;let\2012.%20&#233;v\2011.%20&#233;vi%20z&#225;r&#225;s\K&#233;sz%20anyagok\V.%20ker&#252;let%20mell&#233;kletek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000\z&#225;rsz&#225;mad&#225;s\beszamolo12_mo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1_koltsegvetes_modositas_202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-kiad."/>
      <sheetName val="1.sz.mell_létsz"/>
      <sheetName val="2.sz.mell._2016-2018"/>
      <sheetName val="3.sz.mell_2018.fő"/>
      <sheetName val="4.sz.mell_2018.műk."/>
      <sheetName val="5.sz.mell._2018.felhalm."/>
      <sheetName val="6.sz. mell._Feladat_Önk."/>
      <sheetName val="7.sz.mell. Feladat_Hiv."/>
      <sheetName val="8.sz.mell."/>
      <sheetName val="9.sz.mell."/>
      <sheetName val="10.sz.mell._EU Önk."/>
      <sheetName val="11.sz.mell._Hazai Önk."/>
      <sheetName val="12.sz.mell._EU Hivatal"/>
      <sheetName val="13.sz.mell._Egyéb Hivatal"/>
      <sheetName val="14-15.sz.mell._közvetett"/>
      <sheetName val="16.sz.mell._ei.felh"/>
    </sheetNames>
    <sheetDataSet>
      <sheetData sheetId="12">
        <row r="4">
          <cell r="A4" t="str">
            <v>Pályázatok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M"/>
      <sheetName val="M "/>
      <sheetName val="PFJ"/>
      <sheetName val="PMK "/>
      <sheetName val="PFE"/>
      <sheetName val="MFM"/>
      <sheetName val="VK Eszközök"/>
      <sheetName val="VK Forr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gyonm"/>
      <sheetName val="vagyonkimutatás"/>
      <sheetName val="2a,b,c"/>
      <sheetName val="2d"/>
      <sheetName val="létsz"/>
      <sheetName val="kvimérleg"/>
      <sheetName val="műkmérleg"/>
      <sheetName val="felhmérleg"/>
      <sheetName val="kiadrészletes"/>
      <sheetName val="egyéb műk."/>
      <sheetName val="felhcélok"/>
      <sheetName val="tarteu"/>
      <sheetName val="kvkapcs"/>
      <sheetName val="pm"/>
      <sheetName val="mérleg"/>
      <sheetName val="pfj"/>
      <sheetName val="pmk"/>
      <sheetName val="pf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-kiad."/>
      <sheetName val="1.sz.mell_2020.fő"/>
      <sheetName val="2.sz.mell_2020.műk."/>
      <sheetName val="3.sz.mell._2020.felhalm."/>
      <sheetName val="4.sz. mell._Feladat_Önk."/>
      <sheetName val="5.sz.mell. Feladat_Hiv."/>
      <sheetName val="6.sz.mell.műk.kiadás"/>
      <sheetName val="7.sz.mell. felh.kiadás"/>
      <sheetName val="8.sz.mell._EU Önk."/>
      <sheetName val="9.sz.mell.hazai Önk."/>
      <sheetName val="10_.sz.mell._EU Hivatal"/>
      <sheetName val="11_.sz.mell._Egyéb Hivatal"/>
      <sheetName val="12.sz.mell._ei.felh"/>
      <sheetName val="11.sz.mell._EU Hivatal"/>
      <sheetName val="12.sz.mell._Egyéb Hivatal"/>
    </sheetNames>
    <sheetDataSet>
      <sheetData sheetId="10">
        <row r="67">
          <cell r="A67" t="str">
            <v>TOP-3.1.1-15-BA1-2016-00006 Fenntartható települési közlekedésfejlesztés Birján településen</v>
          </cell>
        </row>
        <row r="74">
          <cell r="G74">
            <v>110000</v>
          </cell>
          <cell r="H74">
            <v>110000</v>
          </cell>
        </row>
        <row r="83">
          <cell r="A83" t="str">
            <v>TOP-3.1.1-15-BA1-2016-00008 Közlekedésbiztonsági fejlesztés Harkány belvárosában </v>
          </cell>
        </row>
        <row r="90">
          <cell r="G90">
            <v>1700200</v>
          </cell>
          <cell r="H90">
            <v>1700200</v>
          </cell>
        </row>
        <row r="163">
          <cell r="A163" t="str">
            <v>TOP-3.1.1-15-BA1-2016-00003 Kerékpárút- és közlekedésbiztonsági fejlesztés Kozármislenyben</v>
          </cell>
        </row>
        <row r="170">
          <cell r="H170">
            <v>0</v>
          </cell>
        </row>
        <row r="195">
          <cell r="A195" t="str">
            <v>TOP-3.2.1-16 Kozármisleny_Energetika korszerűsítés</v>
          </cell>
        </row>
        <row r="202">
          <cell r="H202">
            <v>4826</v>
          </cell>
        </row>
        <row r="291">
          <cell r="A291" t="str">
            <v>TOP-3.2.1-16-Szentlőrinc_energetika korszerűsítés</v>
          </cell>
        </row>
        <row r="298">
          <cell r="H298">
            <v>118872</v>
          </cell>
        </row>
        <row r="339">
          <cell r="A339" t="str">
            <v>TOP-3.2.1-15-BA1-2016-00010 A szigetvári sportcsarnok és tanuszoda épületének energatikai korszerűsítése</v>
          </cell>
        </row>
        <row r="346">
          <cell r="H346">
            <v>45809</v>
          </cell>
        </row>
        <row r="531">
          <cell r="A531" t="str">
            <v>TOP-2.1.3-15-BA1-2016-00008 Máza belterületi vízrendezése III. ütem</v>
          </cell>
        </row>
        <row r="538">
          <cell r="G538">
            <v>160000</v>
          </cell>
          <cell r="H538">
            <v>160000</v>
          </cell>
        </row>
        <row r="595">
          <cell r="A595" t="str">
            <v>TOP-4.2.1-16 Majs Idősek Klubja</v>
          </cell>
        </row>
        <row r="602">
          <cell r="H602">
            <v>114884</v>
          </cell>
        </row>
        <row r="611">
          <cell r="A611" t="str">
            <v>TOP-2.1.3-15-BA1-2016-00003 Csapadékvíz elvezető rendszer fejlesztése Mánfa község belterületén </v>
          </cell>
        </row>
        <row r="618">
          <cell r="H618">
            <v>4975750</v>
          </cell>
        </row>
        <row r="739">
          <cell r="A739" t="str">
            <v>TOP-1.1.3-15-BA1-2016-00004 Szászi piac kialakítása</v>
          </cell>
        </row>
        <row r="746">
          <cell r="H746">
            <v>202574</v>
          </cell>
        </row>
        <row r="755">
          <cell r="A755" t="str">
            <v>TOP-1.4.1-15-BA1-2016-00002 Új bölcsőde kialakítása Szászváron</v>
          </cell>
        </row>
        <row r="762">
          <cell r="G762">
            <v>478566</v>
          </cell>
          <cell r="H762">
            <v>478566</v>
          </cell>
        </row>
        <row r="787">
          <cell r="A787" t="str">
            <v>TOP-1.1.1-15-BA1-2016-00009 Bólyi Ipari Park fejlesztése IV. ütem</v>
          </cell>
        </row>
        <row r="794">
          <cell r="H794">
            <v>0</v>
          </cell>
        </row>
        <row r="835">
          <cell r="A835" t="str">
            <v>TOP-1.4.1-15-BA1-2016-00005 Bőlcsőde kialakítás és óvoda fejlesztés Mágocs városában</v>
          </cell>
        </row>
        <row r="842">
          <cell r="G842">
            <v>353207</v>
          </cell>
          <cell r="H842">
            <v>353208</v>
          </cell>
        </row>
        <row r="851">
          <cell r="A851" t="str">
            <v>TOP-3.2.1-15-BA1-2016-00011 Mágocs–Hegyháti Általános Iskola és Alapfokú Művészeti Iskola energetikai korszerűsítése a káros-anyag kibocsátás csökkentése céljából</v>
          </cell>
        </row>
        <row r="858">
          <cell r="H858">
            <v>255809</v>
          </cell>
        </row>
        <row r="867">
          <cell r="A867" t="str">
            <v>TOP-4.3.1-15_ Mágocs- élhetőbb lakókörnyezet</v>
          </cell>
        </row>
        <row r="874">
          <cell r="G874">
            <v>371</v>
          </cell>
          <cell r="H874">
            <v>371</v>
          </cell>
        </row>
        <row r="947">
          <cell r="A947" t="str">
            <v>TOP-2.1.3-15-BA1-2016-00002 Orfű Pécsi - tó Műtárgyainak fejlesztése  </v>
          </cell>
        </row>
        <row r="954">
          <cell r="H954">
            <v>3500</v>
          </cell>
        </row>
        <row r="995">
          <cell r="A995" t="str">
            <v>TOP-3.1.1-15-BA1-2016-00007 Kerékpárút kialakítása Komló - Sikonda településrész és Komló belváros között </v>
          </cell>
        </row>
        <row r="1002">
          <cell r="G1002">
            <v>3500</v>
          </cell>
          <cell r="H1002">
            <v>3500</v>
          </cell>
        </row>
        <row r="1011">
          <cell r="A1011" t="str">
            <v>TOP-4.1.1-15-BA1-2016-00018 Orvosi rendelő felújítása és korszerűsítése Márokon</v>
          </cell>
        </row>
        <row r="1018">
          <cell r="G1018">
            <v>92570</v>
          </cell>
          <cell r="H1018">
            <v>92570</v>
          </cell>
        </row>
        <row r="1027">
          <cell r="A1027" t="str">
            <v>TOP-4.1.1-15-BA1-2016-00019 Védőnői szolgálat épületének felújítása Kölkeden</v>
          </cell>
        </row>
        <row r="1034">
          <cell r="H1034">
            <v>84615</v>
          </cell>
        </row>
        <row r="1091">
          <cell r="A1091" t="str">
            <v>TOP-1.1.1-15-BA1-2016-00008 Pellérdi Keleti iparterület fejlesztése</v>
          </cell>
        </row>
        <row r="1098">
          <cell r="H1098">
            <v>0</v>
          </cell>
        </row>
        <row r="1139">
          <cell r="A1139" t="str">
            <v>TOP-3.2.1-15-BA1-2016-00002 Geresdlak Önkormányzat intézményeinek energiahatékonysági korszerűsítése</v>
          </cell>
        </row>
        <row r="1146">
          <cell r="G1146">
            <v>173</v>
          </cell>
          <cell r="H1146">
            <v>173</v>
          </cell>
        </row>
        <row r="1171">
          <cell r="A1171" t="str">
            <v>TOP-3.2.1-15-BA1-2016-00004 A Szederkényi Óvoda épületének energetikai korszerűsítése</v>
          </cell>
        </row>
        <row r="1178">
          <cell r="G1178">
            <v>205900</v>
          </cell>
          <cell r="H1178">
            <v>205900</v>
          </cell>
        </row>
        <row r="1203">
          <cell r="A1203" t="str">
            <v>TOP-1.1.3-16-BA1-2017-00006_Sellye</v>
          </cell>
        </row>
        <row r="1210">
          <cell r="H1210">
            <v>7125</v>
          </cell>
        </row>
        <row r="1267">
          <cell r="A1267" t="str">
            <v>TOP-4.2.1-16-BA1-2017-00013_Sellye</v>
          </cell>
        </row>
        <row r="1274">
          <cell r="G1274">
            <v>54474</v>
          </cell>
          <cell r="H1274">
            <v>54474</v>
          </cell>
        </row>
        <row r="1283">
          <cell r="A1283" t="str">
            <v>TOP-2.1.2-16-BA1-2017_Sellye-Zöld város</v>
          </cell>
        </row>
        <row r="1290">
          <cell r="H1290">
            <v>53340</v>
          </cell>
        </row>
        <row r="1379">
          <cell r="A1379" t="str">
            <v>TOP-4.2.1-16-BA1-2017-00003_Lánycsók</v>
          </cell>
        </row>
        <row r="1386">
          <cell r="G1386">
            <v>8674</v>
          </cell>
          <cell r="H1386">
            <v>8674</v>
          </cell>
        </row>
        <row r="1427">
          <cell r="A1427" t="str">
            <v>TOP-2.1.3-16-BA1-2017-00001_Abaliget</v>
          </cell>
        </row>
        <row r="1434">
          <cell r="G1434">
            <v>83374</v>
          </cell>
          <cell r="H1434">
            <v>83374</v>
          </cell>
        </row>
        <row r="1443">
          <cell r="A1443" t="str">
            <v>TOP-4.1.1-16-BA1-2017-00005_Magyarszék</v>
          </cell>
        </row>
        <row r="1450">
          <cell r="G1450">
            <v>149884</v>
          </cell>
          <cell r="H1450">
            <v>149884</v>
          </cell>
        </row>
        <row r="1459">
          <cell r="A1459" t="str">
            <v>TOP-1.4.1-16-BA1-2017-00011_Magyarszék</v>
          </cell>
        </row>
        <row r="1466">
          <cell r="H1466">
            <v>344652</v>
          </cell>
        </row>
        <row r="1475">
          <cell r="A1475" t="str">
            <v>TOP-1.4.1-16-BA1-2017-00019_Almamellék</v>
          </cell>
        </row>
        <row r="1482">
          <cell r="G1482">
            <v>117678</v>
          </cell>
          <cell r="H1482">
            <v>117678</v>
          </cell>
        </row>
        <row r="1507">
          <cell r="A1507" t="str">
            <v>TOP-3.2.1-16-BA1-2017 Mecseknádasd_energetikai korszerűsítés</v>
          </cell>
        </row>
        <row r="1514">
          <cell r="G1514">
            <v>4826</v>
          </cell>
          <cell r="H1514">
            <v>4826</v>
          </cell>
        </row>
        <row r="1555">
          <cell r="A1555" t="str">
            <v>TOP-5.3.1-16_ Komló</v>
          </cell>
        </row>
        <row r="1562">
          <cell r="G1562">
            <v>28956</v>
          </cell>
          <cell r="H1562">
            <v>28956</v>
          </cell>
        </row>
        <row r="1626">
          <cell r="H1626">
            <v>99884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0">
      <selection activeCell="B45" sqref="B45"/>
    </sheetView>
  </sheetViews>
  <sheetFormatPr defaultColWidth="9.140625" defaultRowHeight="15"/>
  <cols>
    <col min="1" max="1" width="15.28125" style="0" customWidth="1"/>
    <col min="2" max="2" width="41.00390625" style="0" customWidth="1"/>
    <col min="3" max="3" width="20.7109375" style="0" customWidth="1"/>
    <col min="4" max="4" width="14.28125" style="0" customWidth="1"/>
    <col min="5" max="5" width="30.140625" style="0" bestFit="1" customWidth="1"/>
    <col min="6" max="6" width="13.8515625" style="0" customWidth="1"/>
  </cols>
  <sheetData>
    <row r="1" spans="1:7" ht="31.5" customHeight="1">
      <c r="A1" s="2" t="s">
        <v>3</v>
      </c>
      <c r="B1" s="3" t="s">
        <v>24</v>
      </c>
      <c r="C1" s="14" t="s">
        <v>0</v>
      </c>
      <c r="D1" s="10" t="s">
        <v>3</v>
      </c>
      <c r="E1" s="3" t="s">
        <v>38</v>
      </c>
      <c r="F1" s="2" t="s">
        <v>0</v>
      </c>
      <c r="G1" s="1"/>
    </row>
    <row r="2" spans="1:6" ht="15">
      <c r="A2" s="3" t="s">
        <v>23</v>
      </c>
      <c r="B2" s="654" t="s">
        <v>2</v>
      </c>
      <c r="C2" s="659"/>
      <c r="D2" s="11" t="s">
        <v>23</v>
      </c>
      <c r="E2" s="654" t="s">
        <v>2</v>
      </c>
      <c r="F2" s="655"/>
    </row>
    <row r="3" spans="1:6" ht="15">
      <c r="A3" s="6" t="s">
        <v>35</v>
      </c>
      <c r="B3" s="4" t="s">
        <v>1</v>
      </c>
      <c r="C3" s="15" t="s">
        <v>70</v>
      </c>
      <c r="D3" s="12" t="s">
        <v>35</v>
      </c>
      <c r="E3" s="5" t="s">
        <v>80</v>
      </c>
      <c r="F3" s="656" t="s">
        <v>79</v>
      </c>
    </row>
    <row r="4" spans="1:6" ht="15">
      <c r="A4" s="6"/>
      <c r="B4" s="7" t="s">
        <v>15</v>
      </c>
      <c r="C4" s="16"/>
      <c r="D4" s="12" t="s">
        <v>36</v>
      </c>
      <c r="E4" s="5" t="s">
        <v>81</v>
      </c>
      <c r="F4" s="656"/>
    </row>
    <row r="5" spans="1:6" ht="15">
      <c r="A5" s="6"/>
      <c r="B5" s="7" t="s">
        <v>16</v>
      </c>
      <c r="C5" s="16"/>
      <c r="D5" s="12" t="s">
        <v>47</v>
      </c>
      <c r="E5" s="5" t="s">
        <v>82</v>
      </c>
      <c r="F5" s="656"/>
    </row>
    <row r="6" spans="1:6" ht="15">
      <c r="A6" s="6" t="s">
        <v>36</v>
      </c>
      <c r="B6" s="4" t="s">
        <v>4</v>
      </c>
      <c r="C6" s="15" t="s">
        <v>71</v>
      </c>
      <c r="D6" s="12" t="s">
        <v>48</v>
      </c>
      <c r="E6" s="5" t="s">
        <v>83</v>
      </c>
      <c r="F6" s="656"/>
    </row>
    <row r="7" spans="1:6" ht="15">
      <c r="A7" s="6"/>
      <c r="B7" s="7" t="s">
        <v>5</v>
      </c>
      <c r="C7" s="16"/>
      <c r="D7" s="12" t="s">
        <v>49</v>
      </c>
      <c r="E7" s="5" t="s">
        <v>84</v>
      </c>
      <c r="F7" s="656"/>
    </row>
    <row r="8" spans="1:6" ht="15">
      <c r="A8" s="6"/>
      <c r="B8" s="7" t="s">
        <v>6</v>
      </c>
      <c r="C8" s="16"/>
      <c r="D8" s="12" t="s">
        <v>50</v>
      </c>
      <c r="E8" s="5" t="s">
        <v>85</v>
      </c>
      <c r="F8" s="656"/>
    </row>
    <row r="9" spans="1:6" ht="15">
      <c r="A9" s="6"/>
      <c r="B9" s="7" t="s">
        <v>7</v>
      </c>
      <c r="C9" s="16"/>
      <c r="D9" s="13"/>
      <c r="E9" s="5"/>
      <c r="F9" s="5"/>
    </row>
    <row r="10" spans="1:6" ht="15">
      <c r="A10" s="6"/>
      <c r="B10" s="7" t="s">
        <v>8</v>
      </c>
      <c r="C10" s="16"/>
      <c r="D10" s="13"/>
      <c r="E10" s="5"/>
      <c r="F10" s="5"/>
    </row>
    <row r="11" spans="1:6" ht="15">
      <c r="A11" s="6"/>
      <c r="B11" s="7" t="s">
        <v>10</v>
      </c>
      <c r="C11" s="16"/>
      <c r="D11" s="13"/>
      <c r="E11" s="5"/>
      <c r="F11" s="5"/>
    </row>
    <row r="12" spans="1:6" ht="15">
      <c r="A12" s="6"/>
      <c r="B12" s="7" t="s">
        <v>11</v>
      </c>
      <c r="C12" s="16"/>
      <c r="D12" s="13"/>
      <c r="E12" s="5"/>
      <c r="F12" s="5"/>
    </row>
    <row r="13" spans="1:6" ht="15">
      <c r="A13" s="6"/>
      <c r="B13" s="7" t="s">
        <v>12</v>
      </c>
      <c r="C13" s="16"/>
      <c r="D13" s="13"/>
      <c r="E13" s="5"/>
      <c r="F13" s="5"/>
    </row>
    <row r="14" spans="1:6" ht="15">
      <c r="A14" s="6"/>
      <c r="B14" s="7" t="s">
        <v>13</v>
      </c>
      <c r="C14" s="16"/>
      <c r="D14" s="13"/>
      <c r="E14" s="5"/>
      <c r="F14" s="5"/>
    </row>
    <row r="15" spans="1:6" ht="15">
      <c r="A15" s="6"/>
      <c r="B15" s="7" t="s">
        <v>14</v>
      </c>
      <c r="C15" s="16"/>
      <c r="D15" s="13"/>
      <c r="E15" s="5"/>
      <c r="F15" s="5"/>
    </row>
    <row r="16" spans="1:6" ht="27" customHeight="1">
      <c r="A16" s="6" t="s">
        <v>47</v>
      </c>
      <c r="B16" s="4" t="s">
        <v>9</v>
      </c>
      <c r="C16" s="17" t="s">
        <v>72</v>
      </c>
      <c r="D16" s="13"/>
      <c r="E16" s="5"/>
      <c r="F16" s="5"/>
    </row>
    <row r="17" spans="1:6" ht="15">
      <c r="A17" s="5"/>
      <c r="B17" s="7" t="s">
        <v>17</v>
      </c>
      <c r="C17" s="16"/>
      <c r="D17" s="13"/>
      <c r="E17" s="5"/>
      <c r="F17" s="5"/>
    </row>
    <row r="18" spans="1:6" ht="15">
      <c r="A18" s="5"/>
      <c r="B18" s="7" t="s">
        <v>18</v>
      </c>
      <c r="C18" s="16"/>
      <c r="D18" s="13"/>
      <c r="E18" s="5"/>
      <c r="F18" s="5"/>
    </row>
    <row r="19" spans="1:6" ht="15">
      <c r="A19" s="5"/>
      <c r="B19" s="7" t="s">
        <v>19</v>
      </c>
      <c r="C19" s="16"/>
      <c r="D19" s="13"/>
      <c r="E19" s="5"/>
      <c r="F19" s="5"/>
    </row>
    <row r="20" spans="1:6" ht="15">
      <c r="A20" s="5"/>
      <c r="B20" s="7" t="s">
        <v>20</v>
      </c>
      <c r="C20" s="16"/>
      <c r="D20" s="13"/>
      <c r="E20" s="5"/>
      <c r="F20" s="5"/>
    </row>
    <row r="21" spans="1:6" ht="15">
      <c r="A21" s="5"/>
      <c r="B21" s="7" t="s">
        <v>21</v>
      </c>
      <c r="C21" s="16"/>
      <c r="D21" s="13"/>
      <c r="E21" s="5"/>
      <c r="F21" s="5"/>
    </row>
    <row r="22" spans="1:6" ht="15">
      <c r="A22" s="5"/>
      <c r="B22" s="7" t="s">
        <v>22</v>
      </c>
      <c r="C22" s="16"/>
      <c r="D22" s="13"/>
      <c r="E22" s="5"/>
      <c r="F22" s="5"/>
    </row>
    <row r="23" spans="1:6" ht="15">
      <c r="A23" s="6" t="s">
        <v>48</v>
      </c>
      <c r="B23" s="4" t="s">
        <v>25</v>
      </c>
      <c r="C23" s="15" t="s">
        <v>73</v>
      </c>
      <c r="D23" s="13"/>
      <c r="E23" s="5"/>
      <c r="F23" s="5"/>
    </row>
    <row r="24" spans="1:6" ht="15">
      <c r="A24" s="5"/>
      <c r="B24" s="7" t="s">
        <v>26</v>
      </c>
      <c r="C24" s="16"/>
      <c r="D24" s="13"/>
      <c r="E24" s="5"/>
      <c r="F24" s="5"/>
    </row>
    <row r="25" spans="1:6" ht="15">
      <c r="A25" s="5"/>
      <c r="B25" s="7" t="s">
        <v>27</v>
      </c>
      <c r="C25" s="16"/>
      <c r="D25" s="13"/>
      <c r="E25" s="5"/>
      <c r="F25" s="5"/>
    </row>
    <row r="26" spans="1:6" ht="15">
      <c r="A26" s="5"/>
      <c r="B26" s="7" t="s">
        <v>28</v>
      </c>
      <c r="C26" s="16"/>
      <c r="D26" s="13"/>
      <c r="E26" s="5"/>
      <c r="F26" s="5"/>
    </row>
    <row r="27" spans="1:6" ht="15">
      <c r="A27" s="5"/>
      <c r="B27" s="7" t="s">
        <v>29</v>
      </c>
      <c r="C27" s="16"/>
      <c r="D27" s="13"/>
      <c r="E27" s="5"/>
      <c r="F27" s="5"/>
    </row>
    <row r="28" spans="1:6" ht="15">
      <c r="A28" s="5"/>
      <c r="B28" s="7" t="s">
        <v>30</v>
      </c>
      <c r="C28" s="16"/>
      <c r="D28" s="13"/>
      <c r="E28" s="5"/>
      <c r="F28" s="5"/>
    </row>
    <row r="29" spans="1:6" ht="15">
      <c r="A29" s="5"/>
      <c r="B29" s="7" t="s">
        <v>31</v>
      </c>
      <c r="C29" s="16"/>
      <c r="D29" s="13"/>
      <c r="E29" s="5"/>
      <c r="F29" s="5"/>
    </row>
    <row r="30" spans="1:6" ht="15">
      <c r="A30" s="5"/>
      <c r="B30" s="7" t="s">
        <v>32</v>
      </c>
      <c r="C30" s="16"/>
      <c r="D30" s="13"/>
      <c r="E30" s="5"/>
      <c r="F30" s="5"/>
    </row>
    <row r="31" spans="1:6" ht="15">
      <c r="A31" s="6" t="s">
        <v>49</v>
      </c>
      <c r="B31" s="4" t="s">
        <v>33</v>
      </c>
      <c r="C31" s="15" t="s">
        <v>74</v>
      </c>
      <c r="D31" s="13"/>
      <c r="E31" s="5"/>
      <c r="F31" s="5"/>
    </row>
    <row r="32" spans="1:6" ht="15">
      <c r="A32" s="6" t="s">
        <v>50</v>
      </c>
      <c r="B32" s="4" t="s">
        <v>34</v>
      </c>
      <c r="C32" s="15" t="s">
        <v>75</v>
      </c>
      <c r="D32" s="13"/>
      <c r="E32" s="5"/>
      <c r="F32" s="5"/>
    </row>
    <row r="33" spans="1:6" ht="30">
      <c r="A33" s="6" t="s">
        <v>51</v>
      </c>
      <c r="B33" s="8" t="s">
        <v>37</v>
      </c>
      <c r="C33" s="15" t="s">
        <v>76</v>
      </c>
      <c r="D33" s="13"/>
      <c r="E33" s="5"/>
      <c r="F33" s="5"/>
    </row>
    <row r="34" spans="1:6" ht="15">
      <c r="A34" s="3" t="s">
        <v>45</v>
      </c>
      <c r="B34" s="657" t="s">
        <v>46</v>
      </c>
      <c r="C34" s="658"/>
      <c r="D34" s="11" t="s">
        <v>45</v>
      </c>
      <c r="E34" s="657" t="s">
        <v>46</v>
      </c>
      <c r="F34" s="663"/>
    </row>
    <row r="35" spans="1:6" ht="15">
      <c r="A35" s="6" t="s">
        <v>52</v>
      </c>
      <c r="B35" s="4" t="s">
        <v>39</v>
      </c>
      <c r="C35" s="15" t="s">
        <v>77</v>
      </c>
      <c r="D35" s="12" t="s">
        <v>52</v>
      </c>
      <c r="E35" s="5" t="s">
        <v>86</v>
      </c>
      <c r="F35" s="660" t="s">
        <v>79</v>
      </c>
    </row>
    <row r="36" spans="1:6" ht="32.25" customHeight="1">
      <c r="A36" s="5"/>
      <c r="B36" s="9" t="s">
        <v>40</v>
      </c>
      <c r="C36" s="16"/>
      <c r="D36" s="12" t="s">
        <v>53</v>
      </c>
      <c r="E36" s="5" t="s">
        <v>87</v>
      </c>
      <c r="F36" s="661"/>
    </row>
    <row r="37" spans="1:6" ht="15">
      <c r="A37" s="5"/>
      <c r="B37" s="9" t="s">
        <v>41</v>
      </c>
      <c r="C37" s="16"/>
      <c r="D37" s="12" t="s">
        <v>54</v>
      </c>
      <c r="E37" s="5" t="s">
        <v>88</v>
      </c>
      <c r="F37" s="661"/>
    </row>
    <row r="38" spans="1:6" ht="15">
      <c r="A38" s="6" t="s">
        <v>53</v>
      </c>
      <c r="B38" s="4" t="s">
        <v>43</v>
      </c>
      <c r="C38" s="15" t="s">
        <v>71</v>
      </c>
      <c r="D38" s="12" t="s">
        <v>55</v>
      </c>
      <c r="E38" s="5" t="s">
        <v>89</v>
      </c>
      <c r="F38" s="661"/>
    </row>
    <row r="39" spans="1:6" ht="15">
      <c r="A39" s="6" t="s">
        <v>54</v>
      </c>
      <c r="B39" s="4" t="s">
        <v>42</v>
      </c>
      <c r="C39" s="15" t="s">
        <v>74</v>
      </c>
      <c r="D39" s="12" t="s">
        <v>69</v>
      </c>
      <c r="E39" s="5" t="s">
        <v>90</v>
      </c>
      <c r="F39" s="662"/>
    </row>
    <row r="40" spans="1:6" ht="15">
      <c r="A40" s="6" t="s">
        <v>55</v>
      </c>
      <c r="B40" s="4" t="s">
        <v>68</v>
      </c>
      <c r="C40" s="15" t="s">
        <v>75</v>
      </c>
      <c r="D40" s="13"/>
      <c r="E40" s="5"/>
      <c r="F40" s="5"/>
    </row>
    <row r="41" spans="1:6" ht="30">
      <c r="A41" s="6" t="s">
        <v>69</v>
      </c>
      <c r="B41" s="8" t="s">
        <v>44</v>
      </c>
      <c r="C41" s="15" t="s">
        <v>76</v>
      </c>
      <c r="D41" s="13"/>
      <c r="E41" s="5"/>
      <c r="F41" s="5"/>
    </row>
    <row r="42" spans="1:6" ht="15">
      <c r="A42" s="3" t="s">
        <v>56</v>
      </c>
      <c r="B42" s="654" t="s">
        <v>57</v>
      </c>
      <c r="C42" s="659"/>
      <c r="D42" s="11" t="s">
        <v>56</v>
      </c>
      <c r="E42" s="654" t="s">
        <v>57</v>
      </c>
      <c r="F42" s="655"/>
    </row>
    <row r="43" spans="1:6" ht="15">
      <c r="A43" s="6" t="s">
        <v>58</v>
      </c>
      <c r="B43" s="5" t="s">
        <v>60</v>
      </c>
      <c r="C43" s="15" t="s">
        <v>78</v>
      </c>
      <c r="D43" s="12" t="s">
        <v>58</v>
      </c>
      <c r="E43" s="5" t="s">
        <v>60</v>
      </c>
      <c r="F43" s="660" t="s">
        <v>79</v>
      </c>
    </row>
    <row r="44" spans="1:6" ht="15">
      <c r="A44" s="6"/>
      <c r="B44" s="7" t="s">
        <v>61</v>
      </c>
      <c r="C44" s="16"/>
      <c r="D44" s="13"/>
      <c r="E44" s="7" t="s">
        <v>91</v>
      </c>
      <c r="F44" s="661"/>
    </row>
    <row r="45" spans="1:6" ht="15">
      <c r="A45" s="5"/>
      <c r="B45" s="7" t="s">
        <v>62</v>
      </c>
      <c r="C45" s="16"/>
      <c r="D45" s="13"/>
      <c r="E45" s="7" t="s">
        <v>92</v>
      </c>
      <c r="F45" s="661"/>
    </row>
    <row r="46" spans="1:6" ht="15">
      <c r="A46" s="6" t="s">
        <v>59</v>
      </c>
      <c r="B46" s="5" t="s">
        <v>63</v>
      </c>
      <c r="C46" s="15" t="s">
        <v>78</v>
      </c>
      <c r="D46" s="12" t="s">
        <v>59</v>
      </c>
      <c r="E46" s="5" t="s">
        <v>63</v>
      </c>
      <c r="F46" s="661"/>
    </row>
    <row r="47" spans="1:6" ht="15">
      <c r="A47" s="5"/>
      <c r="B47" s="7" t="s">
        <v>61</v>
      </c>
      <c r="C47" s="16"/>
      <c r="D47" s="13"/>
      <c r="E47" s="7" t="s">
        <v>91</v>
      </c>
      <c r="F47" s="661"/>
    </row>
    <row r="48" spans="1:6" ht="15">
      <c r="A48" s="5"/>
      <c r="B48" s="7" t="s">
        <v>62</v>
      </c>
      <c r="C48" s="16"/>
      <c r="D48" s="13"/>
      <c r="E48" s="7" t="s">
        <v>92</v>
      </c>
      <c r="F48" s="662"/>
    </row>
    <row r="49" spans="1:6" ht="15">
      <c r="A49" s="5"/>
      <c r="B49" s="7"/>
      <c r="C49" s="16"/>
      <c r="D49" s="11" t="s">
        <v>64</v>
      </c>
      <c r="E49" s="3" t="s">
        <v>95</v>
      </c>
      <c r="F49" s="5"/>
    </row>
    <row r="50" spans="1:6" ht="15">
      <c r="A50" s="5"/>
      <c r="B50" s="7"/>
      <c r="C50" s="16"/>
      <c r="D50" s="20" t="s">
        <v>101</v>
      </c>
      <c r="E50" s="19" t="s">
        <v>96</v>
      </c>
      <c r="F50" s="664" t="s">
        <v>98</v>
      </c>
    </row>
    <row r="51" spans="1:6" ht="15">
      <c r="A51" s="5"/>
      <c r="B51" s="7"/>
      <c r="C51" s="16"/>
      <c r="D51" s="12" t="s">
        <v>102</v>
      </c>
      <c r="E51" s="5" t="s">
        <v>97</v>
      </c>
      <c r="F51" s="665"/>
    </row>
    <row r="52" spans="1:6" ht="15">
      <c r="A52" s="5"/>
      <c r="B52" s="7"/>
      <c r="C52" s="16"/>
      <c r="D52" s="13"/>
      <c r="E52" s="7" t="s">
        <v>66</v>
      </c>
      <c r="F52" s="5"/>
    </row>
    <row r="53" spans="1:6" ht="15">
      <c r="A53" s="5"/>
      <c r="B53" s="7"/>
      <c r="C53" s="16"/>
      <c r="D53" s="13"/>
      <c r="E53" s="7" t="s">
        <v>67</v>
      </c>
      <c r="F53" s="5"/>
    </row>
    <row r="54" spans="1:6" ht="30">
      <c r="A54" s="3" t="s">
        <v>64</v>
      </c>
      <c r="B54" s="8" t="s">
        <v>65</v>
      </c>
      <c r="C54" s="666" t="s">
        <v>99</v>
      </c>
      <c r="D54" s="3" t="s">
        <v>100</v>
      </c>
      <c r="E54" s="8" t="s">
        <v>94</v>
      </c>
      <c r="F54" s="660" t="s">
        <v>99</v>
      </c>
    </row>
    <row r="55" spans="1:6" ht="15">
      <c r="A55" s="5"/>
      <c r="B55" s="7" t="s">
        <v>66</v>
      </c>
      <c r="C55" s="667"/>
      <c r="D55" s="13"/>
      <c r="E55" s="7" t="s">
        <v>66</v>
      </c>
      <c r="F55" s="661"/>
    </row>
    <row r="56" spans="1:6" ht="15">
      <c r="A56" s="5"/>
      <c r="B56" s="7" t="s">
        <v>67</v>
      </c>
      <c r="C56" s="668"/>
      <c r="D56" s="13"/>
      <c r="E56" s="7" t="s">
        <v>67</v>
      </c>
      <c r="F56" s="662"/>
    </row>
    <row r="57" spans="1:6" ht="15">
      <c r="A57" s="5"/>
      <c r="B57" s="18" t="s">
        <v>93</v>
      </c>
      <c r="C57" s="16"/>
      <c r="D57" s="13"/>
      <c r="E57" s="18" t="s">
        <v>93</v>
      </c>
      <c r="F57" s="5"/>
    </row>
  </sheetData>
  <sheetProtection/>
  <mergeCells count="12">
    <mergeCell ref="F43:F48"/>
    <mergeCell ref="F50:F51"/>
    <mergeCell ref="C54:C56"/>
    <mergeCell ref="F54:F56"/>
    <mergeCell ref="B42:C42"/>
    <mergeCell ref="E42:F42"/>
    <mergeCell ref="E2:F2"/>
    <mergeCell ref="F3:F8"/>
    <mergeCell ref="B34:C34"/>
    <mergeCell ref="B2:C2"/>
    <mergeCell ref="F35:F39"/>
    <mergeCell ref="E34:F3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view="pageBreakPreview" zoomScale="75" zoomScaleNormal="75" zoomScaleSheetLayoutView="75" zoomScalePageLayoutView="0" workbookViewId="0" topLeftCell="A35">
      <selection activeCell="M60" sqref="M60"/>
    </sheetView>
  </sheetViews>
  <sheetFormatPr defaultColWidth="8.00390625" defaultRowHeight="15"/>
  <cols>
    <col min="1" max="1" width="48.7109375" style="520" bestFit="1" customWidth="1"/>
    <col min="2" max="2" width="14.8515625" style="593" customWidth="1"/>
    <col min="3" max="3" width="13.28125" style="593" customWidth="1"/>
    <col min="4" max="5" width="12.7109375" style="520" customWidth="1"/>
    <col min="6" max="6" width="15.57421875" style="520" customWidth="1"/>
    <col min="7" max="7" width="13.7109375" style="520" customWidth="1"/>
    <col min="8" max="9" width="12.7109375" style="520" customWidth="1"/>
    <col min="10" max="10" width="11.8515625" style="520" customWidth="1"/>
    <col min="11" max="12" width="12.7109375" style="520" customWidth="1"/>
    <col min="13" max="13" width="15.57421875" style="520" customWidth="1"/>
    <col min="14" max="16384" width="8.00390625" style="520" customWidth="1"/>
  </cols>
  <sheetData>
    <row r="1" spans="2:13" ht="15" customHeight="1">
      <c r="B1" s="519"/>
      <c r="C1" s="519"/>
      <c r="D1" s="519"/>
      <c r="I1" s="732" t="s">
        <v>917</v>
      </c>
      <c r="J1" s="732"/>
      <c r="K1" s="732"/>
      <c r="L1" s="732"/>
      <c r="M1" s="732"/>
    </row>
    <row r="2" spans="1:5" ht="12.75">
      <c r="A2" s="521"/>
      <c r="B2" s="521"/>
      <c r="C2" s="521"/>
      <c r="D2" s="521"/>
      <c r="E2" s="521"/>
    </row>
    <row r="3" spans="1:13" ht="22.5" customHeight="1">
      <c r="A3" s="716" t="s">
        <v>881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</row>
    <row r="4" spans="2:13" ht="13.5" thickBot="1">
      <c r="B4" s="520"/>
      <c r="C4" s="520"/>
      <c r="M4" s="585" t="s">
        <v>216</v>
      </c>
    </row>
    <row r="5" spans="1:13" s="586" customFormat="1" ht="15.75" customHeight="1">
      <c r="A5" s="720" t="s">
        <v>154</v>
      </c>
      <c r="B5" s="723" t="s">
        <v>785</v>
      </c>
      <c r="C5" s="717" t="s">
        <v>941</v>
      </c>
      <c r="D5" s="726" t="s">
        <v>233</v>
      </c>
      <c r="E5" s="727"/>
      <c r="F5" s="717" t="s">
        <v>942</v>
      </c>
      <c r="G5" s="717" t="s">
        <v>943</v>
      </c>
      <c r="H5" s="726" t="s">
        <v>233</v>
      </c>
      <c r="I5" s="727"/>
      <c r="J5" s="733" t="s">
        <v>307</v>
      </c>
      <c r="K5" s="736" t="s">
        <v>233</v>
      </c>
      <c r="L5" s="737"/>
      <c r="M5" s="738" t="s">
        <v>308</v>
      </c>
    </row>
    <row r="6" spans="1:13" s="586" customFormat="1" ht="12" customHeight="1">
      <c r="A6" s="721"/>
      <c r="B6" s="724"/>
      <c r="C6" s="718"/>
      <c r="D6" s="728" t="s">
        <v>234</v>
      </c>
      <c r="E6" s="730" t="s">
        <v>235</v>
      </c>
      <c r="F6" s="718"/>
      <c r="G6" s="718"/>
      <c r="H6" s="728" t="s">
        <v>234</v>
      </c>
      <c r="I6" s="730" t="s">
        <v>235</v>
      </c>
      <c r="J6" s="734"/>
      <c r="K6" s="741" t="s">
        <v>309</v>
      </c>
      <c r="L6" s="743" t="s">
        <v>235</v>
      </c>
      <c r="M6" s="739"/>
    </row>
    <row r="7" spans="1:13" s="586" customFormat="1" ht="48.75" customHeight="1" thickBot="1">
      <c r="A7" s="722"/>
      <c r="B7" s="725"/>
      <c r="C7" s="719"/>
      <c r="D7" s="729"/>
      <c r="E7" s="731"/>
      <c r="F7" s="719"/>
      <c r="G7" s="719"/>
      <c r="H7" s="729"/>
      <c r="I7" s="731"/>
      <c r="J7" s="735"/>
      <c r="K7" s="742"/>
      <c r="L7" s="744"/>
      <c r="M7" s="740"/>
    </row>
    <row r="8" spans="1:13" s="586" customFormat="1" ht="15.75" customHeight="1">
      <c r="A8" s="587" t="s">
        <v>782</v>
      </c>
      <c r="B8" s="571"/>
      <c r="C8" s="561">
        <v>5000000</v>
      </c>
      <c r="D8" s="567">
        <v>2500000</v>
      </c>
      <c r="E8" s="568">
        <v>2500000</v>
      </c>
      <c r="F8" s="561"/>
      <c r="G8" s="561">
        <v>5060000</v>
      </c>
      <c r="H8" s="567">
        <v>0</v>
      </c>
      <c r="I8" s="568">
        <v>5060000</v>
      </c>
      <c r="J8" s="564">
        <v>5060000</v>
      </c>
      <c r="K8" s="565"/>
      <c r="L8" s="566"/>
      <c r="M8" s="584">
        <f>J8/G8</f>
        <v>1</v>
      </c>
    </row>
    <row r="9" spans="1:13" s="586" customFormat="1" ht="15.75" customHeight="1">
      <c r="A9" s="587" t="s">
        <v>923</v>
      </c>
      <c r="B9" s="571"/>
      <c r="C9" s="561"/>
      <c r="D9" s="567"/>
      <c r="E9" s="569"/>
      <c r="F9" s="561"/>
      <c r="G9" s="561">
        <v>2050000</v>
      </c>
      <c r="H9" s="567">
        <v>0</v>
      </c>
      <c r="I9" s="569">
        <v>2050000</v>
      </c>
      <c r="J9" s="564">
        <v>2050000</v>
      </c>
      <c r="K9" s="565">
        <v>0</v>
      </c>
      <c r="L9" s="566">
        <v>2050000</v>
      </c>
      <c r="M9" s="584">
        <f>J9/G9</f>
        <v>1</v>
      </c>
    </row>
    <row r="10" spans="1:13" s="586" customFormat="1" ht="15.75">
      <c r="A10" s="587" t="s">
        <v>783</v>
      </c>
      <c r="B10" s="571"/>
      <c r="C10" s="561">
        <v>4000000</v>
      </c>
      <c r="D10" s="567"/>
      <c r="E10" s="570">
        <v>4000000</v>
      </c>
      <c r="F10" s="561"/>
      <c r="G10" s="561">
        <f>24200000-500000</f>
        <v>23700000</v>
      </c>
      <c r="H10" s="567"/>
      <c r="I10" s="570">
        <v>23700000</v>
      </c>
      <c r="J10" s="564">
        <f>24200000-978813</f>
        <v>23221187</v>
      </c>
      <c r="K10" s="565"/>
      <c r="L10" s="566">
        <v>23221187</v>
      </c>
      <c r="M10" s="584">
        <f>J10/G10</f>
        <v>0.9797969198312236</v>
      </c>
    </row>
    <row r="11" spans="1:13" s="586" customFormat="1" ht="15.75">
      <c r="A11" s="587" t="s">
        <v>236</v>
      </c>
      <c r="B11" s="571"/>
      <c r="C11" s="561"/>
      <c r="D11" s="567"/>
      <c r="E11" s="570"/>
      <c r="F11" s="561"/>
      <c r="G11" s="561">
        <v>10000000</v>
      </c>
      <c r="H11" s="567"/>
      <c r="I11" s="570">
        <v>10000000</v>
      </c>
      <c r="J11" s="564">
        <v>10000000</v>
      </c>
      <c r="K11" s="565"/>
      <c r="L11" s="566">
        <v>10000000</v>
      </c>
      <c r="M11" s="584">
        <f>J11/G11</f>
        <v>1</v>
      </c>
    </row>
    <row r="12" spans="1:13" s="586" customFormat="1" ht="15.75">
      <c r="A12" s="587" t="s">
        <v>924</v>
      </c>
      <c r="B12" s="571"/>
      <c r="C12" s="561">
        <v>1800000</v>
      </c>
      <c r="D12" s="567"/>
      <c r="E12" s="570">
        <v>1800000</v>
      </c>
      <c r="F12" s="561"/>
      <c r="G12" s="561"/>
      <c r="H12" s="567"/>
      <c r="I12" s="570"/>
      <c r="J12" s="564"/>
      <c r="K12" s="565"/>
      <c r="L12" s="566"/>
      <c r="M12" s="584"/>
    </row>
    <row r="13" spans="1:13" s="586" customFormat="1" ht="15.75">
      <c r="A13" s="587" t="s">
        <v>784</v>
      </c>
      <c r="B13" s="571"/>
      <c r="C13" s="561">
        <v>7000000</v>
      </c>
      <c r="D13" s="567">
        <v>7000000</v>
      </c>
      <c r="E13" s="570"/>
      <c r="F13" s="561"/>
      <c r="G13" s="561"/>
      <c r="H13" s="567"/>
      <c r="I13" s="570"/>
      <c r="J13" s="564"/>
      <c r="K13" s="565"/>
      <c r="L13" s="566"/>
      <c r="M13" s="584"/>
    </row>
    <row r="14" spans="1:13" s="586" customFormat="1" ht="15.75">
      <c r="A14" s="587" t="s">
        <v>925</v>
      </c>
      <c r="B14" s="571"/>
      <c r="C14" s="561"/>
      <c r="D14" s="567"/>
      <c r="E14" s="570"/>
      <c r="F14" s="561"/>
      <c r="G14" s="561">
        <v>616223</v>
      </c>
      <c r="H14" s="567">
        <v>616223</v>
      </c>
      <c r="I14" s="570"/>
      <c r="J14" s="564">
        <v>616223</v>
      </c>
      <c r="K14" s="565">
        <v>616223</v>
      </c>
      <c r="L14" s="566"/>
      <c r="M14" s="584">
        <f>J14/G14</f>
        <v>1</v>
      </c>
    </row>
    <row r="15" spans="1:13" s="586" customFormat="1" ht="15.75">
      <c r="A15" s="587" t="s">
        <v>926</v>
      </c>
      <c r="B15" s="571"/>
      <c r="C15" s="561"/>
      <c r="D15" s="567"/>
      <c r="E15" s="570"/>
      <c r="F15" s="561"/>
      <c r="G15" s="561"/>
      <c r="H15" s="567"/>
      <c r="I15" s="570"/>
      <c r="J15" s="564"/>
      <c r="K15" s="565"/>
      <c r="L15" s="566"/>
      <c r="M15" s="584"/>
    </row>
    <row r="16" spans="1:13" s="586" customFormat="1" ht="15.75">
      <c r="A16" s="587" t="s">
        <v>927</v>
      </c>
      <c r="B16" s="571"/>
      <c r="C16" s="561"/>
      <c r="D16" s="567"/>
      <c r="E16" s="570"/>
      <c r="F16" s="561"/>
      <c r="G16" s="561"/>
      <c r="H16" s="567"/>
      <c r="I16" s="570"/>
      <c r="J16" s="564"/>
      <c r="K16" s="565"/>
      <c r="L16" s="566"/>
      <c r="M16" s="584"/>
    </row>
    <row r="17" spans="1:13" s="586" customFormat="1" ht="15.75">
      <c r="A17" s="587" t="s">
        <v>928</v>
      </c>
      <c r="B17" s="571">
        <v>50000000</v>
      </c>
      <c r="C17" s="561"/>
      <c r="D17" s="567">
        <v>50000000</v>
      </c>
      <c r="E17" s="570"/>
      <c r="F17" s="561">
        <v>50000000</v>
      </c>
      <c r="G17" s="561"/>
      <c r="H17" s="567">
        <v>50000000</v>
      </c>
      <c r="I17" s="570"/>
      <c r="J17" s="579"/>
      <c r="K17" s="565"/>
      <c r="L17" s="566"/>
      <c r="M17" s="584"/>
    </row>
    <row r="18" spans="1:13" s="586" customFormat="1" ht="25.5">
      <c r="A18" s="588" t="str">
        <f>+'[4]10_.sz.mell._EU Hivatal'!A67</f>
        <v>TOP-3.1.1-15-BA1-2016-00006 Fenntartható települési közlekedésfejlesztés Birján településen</v>
      </c>
      <c r="B18" s="571">
        <f>+'[4]10_.sz.mell._EU Hivatal'!G74</f>
        <v>110000</v>
      </c>
      <c r="C18" s="561"/>
      <c r="D18" s="567">
        <v>110000</v>
      </c>
      <c r="E18" s="570"/>
      <c r="F18" s="561">
        <f>+'[4]10_.sz.mell._EU Hivatal'!H74</f>
        <v>110000</v>
      </c>
      <c r="G18" s="561"/>
      <c r="H18" s="567">
        <v>110000</v>
      </c>
      <c r="I18" s="570"/>
      <c r="J18" s="565"/>
      <c r="K18" s="565"/>
      <c r="L18" s="565"/>
      <c r="M18" s="584"/>
    </row>
    <row r="19" spans="1:13" s="586" customFormat="1" ht="25.5">
      <c r="A19" s="588" t="str">
        <f>+'[4]10_.sz.mell._EU Hivatal'!A83</f>
        <v>TOP-3.1.1-15-BA1-2016-00008 Közlekedésbiztonsági fejlesztés Harkány belvárosában </v>
      </c>
      <c r="B19" s="571">
        <f>+'[4]10_.sz.mell._EU Hivatal'!G90</f>
        <v>1700200</v>
      </c>
      <c r="C19" s="561"/>
      <c r="D19" s="567">
        <v>1700200</v>
      </c>
      <c r="E19" s="570"/>
      <c r="F19" s="561">
        <f>+'[4]10_.sz.mell._EU Hivatal'!H90</f>
        <v>1700200</v>
      </c>
      <c r="G19" s="561"/>
      <c r="H19" s="567">
        <v>1700200</v>
      </c>
      <c r="I19" s="570"/>
      <c r="J19" s="565">
        <v>1700200</v>
      </c>
      <c r="K19" s="565">
        <v>1700200</v>
      </c>
      <c r="L19" s="565"/>
      <c r="M19" s="584">
        <f>J19/F19</f>
        <v>1</v>
      </c>
    </row>
    <row r="20" spans="1:13" s="586" customFormat="1" ht="25.5">
      <c r="A20" s="588" t="str">
        <f>+'[4]10_.sz.mell._EU Hivatal'!A163</f>
        <v>TOP-3.1.1-15-BA1-2016-00003 Kerékpárút- és közlekedésbiztonsági fejlesztés Kozármislenyben</v>
      </c>
      <c r="B20" s="571">
        <v>308348</v>
      </c>
      <c r="C20" s="561"/>
      <c r="D20" s="567">
        <v>308348</v>
      </c>
      <c r="E20" s="570"/>
      <c r="F20" s="561">
        <f>+'[4]10_.sz.mell._EU Hivatal'!H170</f>
        <v>0</v>
      </c>
      <c r="G20" s="561"/>
      <c r="H20" s="567">
        <v>0</v>
      </c>
      <c r="I20" s="570"/>
      <c r="J20" s="565"/>
      <c r="K20" s="565"/>
      <c r="L20" s="565"/>
      <c r="M20" s="584"/>
    </row>
    <row r="21" spans="1:13" s="586" customFormat="1" ht="15.75">
      <c r="A21" s="588" t="str">
        <f>+'[4]10_.sz.mell._EU Hivatal'!A195</f>
        <v>TOP-3.2.1-16 Kozármisleny_Energetika korszerűsítés</v>
      </c>
      <c r="B21" s="571">
        <f>+'[4]10_.sz.mell._EU Hivatal'!H202</f>
        <v>4826</v>
      </c>
      <c r="C21" s="561"/>
      <c r="D21" s="567">
        <v>4826</v>
      </c>
      <c r="E21" s="570"/>
      <c r="F21" s="561">
        <f>+'[4]10_.sz.mell._EU Hivatal'!H202</f>
        <v>4826</v>
      </c>
      <c r="G21" s="561"/>
      <c r="H21" s="567">
        <v>4826</v>
      </c>
      <c r="I21" s="570"/>
      <c r="J21" s="565"/>
      <c r="K21" s="565"/>
      <c r="L21" s="566"/>
      <c r="M21" s="584"/>
    </row>
    <row r="22" spans="1:13" s="586" customFormat="1" ht="15.75">
      <c r="A22" s="588" t="str">
        <f>+'[4]10_.sz.mell._EU Hivatal'!A291</f>
        <v>TOP-3.2.1-16-Szentlőrinc_energetika korszerűsítés</v>
      </c>
      <c r="B22" s="571">
        <f>+'[4]10_.sz.mell._EU Hivatal'!H298</f>
        <v>118872</v>
      </c>
      <c r="C22" s="561"/>
      <c r="D22" s="567">
        <v>118872</v>
      </c>
      <c r="E22" s="570"/>
      <c r="F22" s="561">
        <f>+'[4]10_.sz.mell._EU Hivatal'!H298</f>
        <v>118872</v>
      </c>
      <c r="G22" s="561"/>
      <c r="H22" s="567">
        <v>118872</v>
      </c>
      <c r="I22" s="570"/>
      <c r="J22" s="565"/>
      <c r="K22" s="565"/>
      <c r="L22" s="566"/>
      <c r="M22" s="584"/>
    </row>
    <row r="23" spans="1:13" s="586" customFormat="1" ht="25.5">
      <c r="A23" s="588" t="str">
        <f>+'[4]10_.sz.mell._EU Hivatal'!A339</f>
        <v>TOP-3.2.1-15-BA1-2016-00010 A szigetvári sportcsarnok és tanuszoda épületének energatikai korszerűsítése</v>
      </c>
      <c r="B23" s="571">
        <f>+'[4]10_.sz.mell._EU Hivatal'!H346</f>
        <v>45809</v>
      </c>
      <c r="C23" s="561"/>
      <c r="D23" s="567">
        <v>45809</v>
      </c>
      <c r="E23" s="570"/>
      <c r="F23" s="561">
        <f>+'[4]10_.sz.mell._EU Hivatal'!H346</f>
        <v>45809</v>
      </c>
      <c r="G23" s="561"/>
      <c r="H23" s="567">
        <v>45809</v>
      </c>
      <c r="I23" s="570"/>
      <c r="J23" s="565"/>
      <c r="K23" s="565"/>
      <c r="L23" s="566"/>
      <c r="M23" s="584"/>
    </row>
    <row r="24" spans="1:13" s="586" customFormat="1" ht="25.5">
      <c r="A24" s="588" t="str">
        <f>+'[4]10_.sz.mell._EU Hivatal'!A531</f>
        <v>TOP-2.1.3-15-BA1-2016-00008 Máza belterületi vízrendezése III. ütem</v>
      </c>
      <c r="B24" s="571">
        <f>+'[4]10_.sz.mell._EU Hivatal'!G538</f>
        <v>160000</v>
      </c>
      <c r="C24" s="561"/>
      <c r="D24" s="567">
        <v>160000</v>
      </c>
      <c r="E24" s="570"/>
      <c r="F24" s="561">
        <f>+'[4]10_.sz.mell._EU Hivatal'!H538</f>
        <v>160000</v>
      </c>
      <c r="G24" s="561"/>
      <c r="H24" s="567">
        <v>160000</v>
      </c>
      <c r="I24" s="570"/>
      <c r="J24" s="565">
        <v>160000</v>
      </c>
      <c r="K24" s="565">
        <v>160000</v>
      </c>
      <c r="L24" s="566"/>
      <c r="M24" s="584">
        <f aca="true" t="shared" si="0" ref="M21:M63">J24/F24</f>
        <v>1</v>
      </c>
    </row>
    <row r="25" spans="1:13" s="586" customFormat="1" ht="15.75">
      <c r="A25" s="588" t="str">
        <f>+'[4]10_.sz.mell._EU Hivatal'!A595</f>
        <v>TOP-4.2.1-16 Majs Idősek Klubja</v>
      </c>
      <c r="B25" s="571">
        <v>0</v>
      </c>
      <c r="C25" s="561"/>
      <c r="D25" s="567">
        <v>0</v>
      </c>
      <c r="E25" s="570"/>
      <c r="F25" s="561">
        <f>+'[4]10_.sz.mell._EU Hivatal'!H602</f>
        <v>114884</v>
      </c>
      <c r="G25" s="561"/>
      <c r="H25" s="567">
        <v>114884</v>
      </c>
      <c r="I25" s="570"/>
      <c r="J25" s="565">
        <v>114818</v>
      </c>
      <c r="K25" s="565">
        <v>114818</v>
      </c>
      <c r="L25" s="566"/>
      <c r="M25" s="584">
        <f t="shared" si="0"/>
        <v>0.9994255074684029</v>
      </c>
    </row>
    <row r="26" spans="1:13" s="586" customFormat="1" ht="25.5">
      <c r="A26" s="588" t="str">
        <f>+'[4]10_.sz.mell._EU Hivatal'!A611</f>
        <v>TOP-2.1.3-15-BA1-2016-00003 Csapadékvíz elvezető rendszer fejlesztése Mánfa község belterületén </v>
      </c>
      <c r="B26" s="571">
        <v>0</v>
      </c>
      <c r="C26" s="561"/>
      <c r="D26" s="567">
        <v>0</v>
      </c>
      <c r="E26" s="570"/>
      <c r="F26" s="561">
        <f>+'[4]10_.sz.mell._EU Hivatal'!H618</f>
        <v>4975750</v>
      </c>
      <c r="G26" s="561"/>
      <c r="H26" s="567">
        <v>4975750</v>
      </c>
      <c r="I26" s="570"/>
      <c r="J26" s="565">
        <v>4975750</v>
      </c>
      <c r="K26" s="565">
        <v>4975750</v>
      </c>
      <c r="L26" s="566"/>
      <c r="M26" s="584">
        <f t="shared" si="0"/>
        <v>1</v>
      </c>
    </row>
    <row r="27" spans="1:13" s="586" customFormat="1" ht="15.75">
      <c r="A27" s="588" t="str">
        <f>+'[4]10_.sz.mell._EU Hivatal'!A739</f>
        <v>TOP-1.1.3-15-BA1-2016-00004 Szászi piac kialakítása</v>
      </c>
      <c r="B27" s="571">
        <v>0</v>
      </c>
      <c r="C27" s="561"/>
      <c r="D27" s="567">
        <v>0</v>
      </c>
      <c r="E27" s="570"/>
      <c r="F27" s="561">
        <f>+'[4]10_.sz.mell._EU Hivatal'!H746</f>
        <v>202574</v>
      </c>
      <c r="G27" s="561"/>
      <c r="H27" s="567">
        <v>202574</v>
      </c>
      <c r="I27" s="570"/>
      <c r="J27" s="565">
        <v>202574</v>
      </c>
      <c r="K27" s="565">
        <v>202574</v>
      </c>
      <c r="L27" s="566"/>
      <c r="M27" s="584">
        <f t="shared" si="0"/>
        <v>1</v>
      </c>
    </row>
    <row r="28" spans="1:13" s="586" customFormat="1" ht="25.5">
      <c r="A28" s="588" t="str">
        <f>+'[4]10_.sz.mell._EU Hivatal'!A755</f>
        <v>TOP-1.4.1-15-BA1-2016-00002 Új bölcsőde kialakítása Szászváron</v>
      </c>
      <c r="B28" s="571">
        <f>+'[4]10_.sz.mell._EU Hivatal'!G762</f>
        <v>478566</v>
      </c>
      <c r="C28" s="561"/>
      <c r="D28" s="567">
        <v>478566</v>
      </c>
      <c r="E28" s="570"/>
      <c r="F28" s="561">
        <f>+'[4]10_.sz.mell._EU Hivatal'!H762</f>
        <v>478566</v>
      </c>
      <c r="G28" s="561"/>
      <c r="H28" s="567">
        <v>478566</v>
      </c>
      <c r="I28" s="570"/>
      <c r="J28" s="565">
        <v>478566</v>
      </c>
      <c r="K28" s="565">
        <v>478566</v>
      </c>
      <c r="L28" s="566"/>
      <c r="M28" s="584">
        <f t="shared" si="0"/>
        <v>1</v>
      </c>
    </row>
    <row r="29" spans="1:13" s="586" customFormat="1" ht="25.5">
      <c r="A29" s="588" t="str">
        <f>+'[4]10_.sz.mell._EU Hivatal'!A787</f>
        <v>TOP-1.1.1-15-BA1-2016-00009 Bólyi Ipari Park fejlesztése IV. ütem</v>
      </c>
      <c r="B29" s="571">
        <v>430000</v>
      </c>
      <c r="C29" s="561"/>
      <c r="D29" s="567">
        <v>430000</v>
      </c>
      <c r="E29" s="570"/>
      <c r="F29" s="561">
        <f>+'[4]10_.sz.mell._EU Hivatal'!H794</f>
        <v>0</v>
      </c>
      <c r="G29" s="561"/>
      <c r="H29" s="567">
        <v>0</v>
      </c>
      <c r="I29" s="570"/>
      <c r="J29" s="565"/>
      <c r="K29" s="565"/>
      <c r="L29" s="566"/>
      <c r="M29" s="584"/>
    </row>
    <row r="30" spans="1:13" s="586" customFormat="1" ht="25.5">
      <c r="A30" s="588" t="str">
        <f>+'[4]10_.sz.mell._EU Hivatal'!A835</f>
        <v>TOP-1.4.1-15-BA1-2016-00005 Bőlcsőde kialakítás és óvoda fejlesztés Mágocs városában</v>
      </c>
      <c r="B30" s="571">
        <f>+'[4]10_.sz.mell._EU Hivatal'!G842</f>
        <v>353207</v>
      </c>
      <c r="C30" s="561"/>
      <c r="D30" s="567">
        <v>353207</v>
      </c>
      <c r="E30" s="570"/>
      <c r="F30" s="561">
        <f>+'[4]10_.sz.mell._EU Hivatal'!H842</f>
        <v>353208</v>
      </c>
      <c r="G30" s="561"/>
      <c r="H30" s="567">
        <v>353208</v>
      </c>
      <c r="I30" s="570"/>
      <c r="J30" s="565">
        <v>353208</v>
      </c>
      <c r="K30" s="565">
        <v>353208</v>
      </c>
      <c r="L30" s="566"/>
      <c r="M30" s="584">
        <f t="shared" si="0"/>
        <v>1</v>
      </c>
    </row>
    <row r="31" spans="1:13" s="586" customFormat="1" ht="51">
      <c r="A31" s="588" t="str">
        <f>+'[4]10_.sz.mell._EU Hivatal'!A851</f>
        <v>TOP-3.2.1-15-BA1-2016-00011 Mágocs–Hegyháti Általános Iskola és Alapfokú Művészeti Iskola energetikai korszerűsítése a káros-anyag kibocsátás csökkentése céljából</v>
      </c>
      <c r="B31" s="571">
        <v>720505</v>
      </c>
      <c r="C31" s="561"/>
      <c r="D31" s="567">
        <v>720505</v>
      </c>
      <c r="E31" s="570"/>
      <c r="F31" s="561">
        <f>+'[4]10_.sz.mell._EU Hivatal'!H858</f>
        <v>255809</v>
      </c>
      <c r="G31" s="561"/>
      <c r="H31" s="567">
        <v>255809</v>
      </c>
      <c r="I31" s="570"/>
      <c r="J31" s="565">
        <v>255809</v>
      </c>
      <c r="K31" s="565">
        <v>255809</v>
      </c>
      <c r="L31" s="566"/>
      <c r="M31" s="584">
        <f t="shared" si="0"/>
        <v>1</v>
      </c>
    </row>
    <row r="32" spans="1:13" s="586" customFormat="1" ht="15.75">
      <c r="A32" s="588" t="str">
        <f>+'[4]10_.sz.mell._EU Hivatal'!A867</f>
        <v>TOP-4.3.1-15_ Mágocs- élhetőbb lakókörnyezet</v>
      </c>
      <c r="B32" s="571">
        <f>+'[4]10_.sz.mell._EU Hivatal'!G874</f>
        <v>371</v>
      </c>
      <c r="C32" s="561"/>
      <c r="D32" s="567">
        <v>371</v>
      </c>
      <c r="E32" s="570"/>
      <c r="F32" s="561">
        <f>+'[4]10_.sz.mell._EU Hivatal'!H874</f>
        <v>371</v>
      </c>
      <c r="G32" s="561"/>
      <c r="H32" s="567">
        <v>371</v>
      </c>
      <c r="I32" s="570"/>
      <c r="J32" s="565"/>
      <c r="K32" s="565"/>
      <c r="L32" s="566"/>
      <c r="M32" s="584"/>
    </row>
    <row r="33" spans="1:13" s="586" customFormat="1" ht="25.5">
      <c r="A33" s="588" t="str">
        <f>+'[4]10_.sz.mell._EU Hivatal'!A947</f>
        <v>TOP-2.1.3-15-BA1-2016-00002 Orfű Pécsi - tó Műtárgyainak fejlesztése  </v>
      </c>
      <c r="B33" s="571">
        <v>4863</v>
      </c>
      <c r="C33" s="561"/>
      <c r="D33" s="567">
        <v>4863</v>
      </c>
      <c r="E33" s="570"/>
      <c r="F33" s="561">
        <f>+'[4]10_.sz.mell._EU Hivatal'!H954</f>
        <v>3500</v>
      </c>
      <c r="G33" s="561"/>
      <c r="H33" s="567">
        <v>3500</v>
      </c>
      <c r="I33" s="570"/>
      <c r="J33" s="565">
        <v>3500</v>
      </c>
      <c r="K33" s="565">
        <v>3500</v>
      </c>
      <c r="L33" s="566"/>
      <c r="M33" s="584">
        <f t="shared" si="0"/>
        <v>1</v>
      </c>
    </row>
    <row r="34" spans="1:13" s="586" customFormat="1" ht="25.5">
      <c r="A34" s="588" t="str">
        <f>+'[4]10_.sz.mell._EU Hivatal'!A995</f>
        <v>TOP-3.1.1-15-BA1-2016-00007 Kerékpárút kialakítása Komló - Sikonda településrész és Komló belváros között </v>
      </c>
      <c r="B34" s="571">
        <f>+'[4]10_.sz.mell._EU Hivatal'!G1002</f>
        <v>3500</v>
      </c>
      <c r="C34" s="561"/>
      <c r="D34" s="567">
        <v>3500</v>
      </c>
      <c r="E34" s="570"/>
      <c r="F34" s="561">
        <f>+'[4]10_.sz.mell._EU Hivatal'!H1002</f>
        <v>3500</v>
      </c>
      <c r="G34" s="561"/>
      <c r="H34" s="567">
        <v>3500</v>
      </c>
      <c r="I34" s="570"/>
      <c r="J34" s="565"/>
      <c r="K34" s="565"/>
      <c r="L34" s="566"/>
      <c r="M34" s="584"/>
    </row>
    <row r="35" spans="1:13" s="586" customFormat="1" ht="25.5">
      <c r="A35" s="588" t="str">
        <f>+'[4]10_.sz.mell._EU Hivatal'!A1011</f>
        <v>TOP-4.1.1-15-BA1-2016-00018 Orvosi rendelő felújítása és korszerűsítése Márokon</v>
      </c>
      <c r="B35" s="571">
        <f>+'[4]10_.sz.mell._EU Hivatal'!G1018</f>
        <v>92570</v>
      </c>
      <c r="C35" s="561"/>
      <c r="D35" s="567">
        <v>92570</v>
      </c>
      <c r="E35" s="570"/>
      <c r="F35" s="561">
        <f>+'[4]10_.sz.mell._EU Hivatal'!H1018</f>
        <v>92570</v>
      </c>
      <c r="G35" s="561"/>
      <c r="H35" s="567">
        <v>92570</v>
      </c>
      <c r="I35" s="570"/>
      <c r="J35" s="565">
        <v>92570</v>
      </c>
      <c r="K35" s="565">
        <v>92570</v>
      </c>
      <c r="L35" s="566"/>
      <c r="M35" s="584">
        <f t="shared" si="0"/>
        <v>1</v>
      </c>
    </row>
    <row r="36" spans="1:13" s="586" customFormat="1" ht="25.5">
      <c r="A36" s="588" t="str">
        <f>+'[4]10_.sz.mell._EU Hivatal'!A1027</f>
        <v>TOP-4.1.1-15-BA1-2016-00019 Védőnői szolgálat épületének felújítása Kölkeden</v>
      </c>
      <c r="B36" s="571">
        <v>85471</v>
      </c>
      <c r="C36" s="561"/>
      <c r="D36" s="567">
        <v>85471</v>
      </c>
      <c r="E36" s="570"/>
      <c r="F36" s="561">
        <f>+'[4]10_.sz.mell._EU Hivatal'!H1034</f>
        <v>84615</v>
      </c>
      <c r="G36" s="561"/>
      <c r="H36" s="567">
        <v>84615</v>
      </c>
      <c r="I36" s="570"/>
      <c r="J36" s="565">
        <v>84615</v>
      </c>
      <c r="K36" s="565">
        <v>84615</v>
      </c>
      <c r="L36" s="566"/>
      <c r="M36" s="584">
        <f t="shared" si="0"/>
        <v>1</v>
      </c>
    </row>
    <row r="37" spans="1:13" s="586" customFormat="1" ht="25.5">
      <c r="A37" s="588" t="str">
        <f>+'[4]10_.sz.mell._EU Hivatal'!A1091</f>
        <v>TOP-1.1.1-15-BA1-2016-00008 Pellérdi Keleti iparterület fejlesztése</v>
      </c>
      <c r="B37" s="571">
        <v>305809</v>
      </c>
      <c r="C37" s="561"/>
      <c r="D37" s="567">
        <v>305809</v>
      </c>
      <c r="E37" s="570"/>
      <c r="F37" s="561">
        <f>+'[4]10_.sz.mell._EU Hivatal'!H1098</f>
        <v>0</v>
      </c>
      <c r="G37" s="561"/>
      <c r="H37" s="567">
        <v>0</v>
      </c>
      <c r="I37" s="570"/>
      <c r="J37" s="565"/>
      <c r="K37" s="565"/>
      <c r="L37" s="566"/>
      <c r="M37" s="584"/>
    </row>
    <row r="38" spans="1:13" s="586" customFormat="1" ht="25.5">
      <c r="A38" s="588" t="str">
        <f>+'[4]10_.sz.mell._EU Hivatal'!A1139</f>
        <v>TOP-3.2.1-15-BA1-2016-00002 Geresdlak Önkormányzat intézményeinek energiahatékonysági korszerűsítése</v>
      </c>
      <c r="B38" s="571">
        <f>+'[4]10_.sz.mell._EU Hivatal'!G1146</f>
        <v>173</v>
      </c>
      <c r="C38" s="561"/>
      <c r="D38" s="567">
        <v>173</v>
      </c>
      <c r="E38" s="570"/>
      <c r="F38" s="561">
        <f>+'[4]10_.sz.mell._EU Hivatal'!H1146</f>
        <v>173</v>
      </c>
      <c r="G38" s="561"/>
      <c r="H38" s="567">
        <v>173</v>
      </c>
      <c r="I38" s="570"/>
      <c r="J38" s="565"/>
      <c r="K38" s="565"/>
      <c r="L38" s="566"/>
      <c r="M38" s="584"/>
    </row>
    <row r="39" spans="1:13" s="586" customFormat="1" ht="25.5">
      <c r="A39" s="588" t="str">
        <f>+'[4]10_.sz.mell._EU Hivatal'!A1171</f>
        <v>TOP-3.2.1-15-BA1-2016-00004 A Szederkényi Óvoda épületének energetikai korszerűsítése</v>
      </c>
      <c r="B39" s="571">
        <f>+'[4]10_.sz.mell._EU Hivatal'!G1178</f>
        <v>205900</v>
      </c>
      <c r="C39" s="561"/>
      <c r="D39" s="567">
        <v>205900</v>
      </c>
      <c r="E39" s="570"/>
      <c r="F39" s="561">
        <f>+'[4]10_.sz.mell._EU Hivatal'!H1178</f>
        <v>205900</v>
      </c>
      <c r="G39" s="561"/>
      <c r="H39" s="567">
        <v>205900</v>
      </c>
      <c r="I39" s="570"/>
      <c r="J39" s="565"/>
      <c r="K39" s="565"/>
      <c r="L39" s="566"/>
      <c r="M39" s="584"/>
    </row>
    <row r="40" spans="1:13" s="586" customFormat="1" ht="15.75">
      <c r="A40" s="588" t="str">
        <f>+'[4]10_.sz.mell._EU Hivatal'!A1203</f>
        <v>TOP-1.1.3-16-BA1-2017-00006_Sellye</v>
      </c>
      <c r="B40" s="571">
        <v>0</v>
      </c>
      <c r="C40" s="561"/>
      <c r="D40" s="567">
        <v>0</v>
      </c>
      <c r="E40" s="570"/>
      <c r="F40" s="561">
        <f>+'[4]10_.sz.mell._EU Hivatal'!H1210</f>
        <v>7125</v>
      </c>
      <c r="G40" s="561"/>
      <c r="H40" s="567">
        <v>7125</v>
      </c>
      <c r="I40" s="570"/>
      <c r="J40" s="565">
        <v>7125</v>
      </c>
      <c r="K40" s="565">
        <v>7125</v>
      </c>
      <c r="L40" s="566"/>
      <c r="M40" s="584">
        <f t="shared" si="0"/>
        <v>1</v>
      </c>
    </row>
    <row r="41" spans="1:13" s="586" customFormat="1" ht="15.75">
      <c r="A41" s="588" t="str">
        <f>+'[4]10_.sz.mell._EU Hivatal'!A1267</f>
        <v>TOP-4.2.1-16-BA1-2017-00013_Sellye</v>
      </c>
      <c r="B41" s="571">
        <f>+'[4]10_.sz.mell._EU Hivatal'!G1274</f>
        <v>54474</v>
      </c>
      <c r="C41" s="561"/>
      <c r="D41" s="567">
        <v>54474</v>
      </c>
      <c r="E41" s="570"/>
      <c r="F41" s="561">
        <f>+'[4]10_.sz.mell._EU Hivatal'!H1274</f>
        <v>54474</v>
      </c>
      <c r="G41" s="561"/>
      <c r="H41" s="567">
        <v>54474</v>
      </c>
      <c r="I41" s="570"/>
      <c r="J41" s="565"/>
      <c r="K41" s="565"/>
      <c r="L41" s="566"/>
      <c r="M41" s="584"/>
    </row>
    <row r="42" spans="1:13" s="586" customFormat="1" ht="15.75">
      <c r="A42" s="588" t="str">
        <f>+'[4]10_.sz.mell._EU Hivatal'!A1283</f>
        <v>TOP-2.1.2-16-BA1-2017_Sellye-Zöld város</v>
      </c>
      <c r="B42" s="571">
        <v>0</v>
      </c>
      <c r="C42" s="561"/>
      <c r="D42" s="567">
        <v>0</v>
      </c>
      <c r="E42" s="570"/>
      <c r="F42" s="561">
        <f>+'[4]10_.sz.mell._EU Hivatal'!H1290</f>
        <v>53340</v>
      </c>
      <c r="G42" s="561"/>
      <c r="H42" s="567">
        <v>53340</v>
      </c>
      <c r="I42" s="570"/>
      <c r="J42" s="565">
        <v>53340</v>
      </c>
      <c r="K42" s="565">
        <v>53340</v>
      </c>
      <c r="L42" s="566"/>
      <c r="M42" s="584">
        <f t="shared" si="0"/>
        <v>1</v>
      </c>
    </row>
    <row r="43" spans="1:13" s="586" customFormat="1" ht="15.75">
      <c r="A43" s="588" t="str">
        <f>+'[4]10_.sz.mell._EU Hivatal'!A1379</f>
        <v>TOP-4.2.1-16-BA1-2017-00003_Lánycsók</v>
      </c>
      <c r="B43" s="571">
        <f>+'[4]10_.sz.mell._EU Hivatal'!G1386</f>
        <v>8674</v>
      </c>
      <c r="C43" s="561"/>
      <c r="D43" s="567">
        <v>8674</v>
      </c>
      <c r="E43" s="570"/>
      <c r="F43" s="561">
        <f>+'[4]10_.sz.mell._EU Hivatal'!H1386</f>
        <v>8674</v>
      </c>
      <c r="G43" s="561"/>
      <c r="H43" s="567">
        <v>8674</v>
      </c>
      <c r="I43" s="570"/>
      <c r="J43" s="565"/>
      <c r="K43" s="565"/>
      <c r="L43" s="566"/>
      <c r="M43" s="584"/>
    </row>
    <row r="44" spans="1:13" s="586" customFormat="1" ht="15.75">
      <c r="A44" s="588" t="str">
        <f>+'[4]10_.sz.mell._EU Hivatal'!A1427</f>
        <v>TOP-2.1.3-16-BA1-2017-00001_Abaliget</v>
      </c>
      <c r="B44" s="571">
        <f>+'[4]10_.sz.mell._EU Hivatal'!G1434</f>
        <v>83374</v>
      </c>
      <c r="C44" s="561"/>
      <c r="D44" s="567">
        <v>83374</v>
      </c>
      <c r="E44" s="570"/>
      <c r="F44" s="561">
        <f>+'[4]10_.sz.mell._EU Hivatal'!H1434</f>
        <v>83374</v>
      </c>
      <c r="G44" s="561"/>
      <c r="H44" s="567">
        <v>83374</v>
      </c>
      <c r="I44" s="570"/>
      <c r="J44" s="565">
        <v>83374</v>
      </c>
      <c r="K44" s="565">
        <v>83374</v>
      </c>
      <c r="L44" s="566"/>
      <c r="M44" s="584">
        <f t="shared" si="0"/>
        <v>1</v>
      </c>
    </row>
    <row r="45" spans="1:13" s="586" customFormat="1" ht="15.75">
      <c r="A45" s="588" t="str">
        <f>+'[4]10_.sz.mell._EU Hivatal'!A1443</f>
        <v>TOP-4.1.1-16-BA1-2017-00005_Magyarszék</v>
      </c>
      <c r="B45" s="571">
        <f>+'[4]10_.sz.mell._EU Hivatal'!G1450</f>
        <v>149884</v>
      </c>
      <c r="C45" s="561"/>
      <c r="D45" s="567">
        <v>149884</v>
      </c>
      <c r="E45" s="570"/>
      <c r="F45" s="561">
        <f>+'[4]10_.sz.mell._EU Hivatal'!H1450</f>
        <v>149884</v>
      </c>
      <c r="G45" s="561"/>
      <c r="H45" s="567">
        <v>149884</v>
      </c>
      <c r="I45" s="570"/>
      <c r="J45" s="565"/>
      <c r="K45" s="565"/>
      <c r="L45" s="566"/>
      <c r="M45" s="584"/>
    </row>
    <row r="46" spans="1:13" s="586" customFormat="1" ht="15.75">
      <c r="A46" s="588" t="str">
        <f>+'[4]10_.sz.mell._EU Hivatal'!A1459</f>
        <v>TOP-1.4.1-16-BA1-2017-00011_Magyarszék</v>
      </c>
      <c r="B46" s="571">
        <v>0</v>
      </c>
      <c r="C46" s="561"/>
      <c r="D46" s="567">
        <v>0</v>
      </c>
      <c r="E46" s="570"/>
      <c r="F46" s="561">
        <f>+'[4]10_.sz.mell._EU Hivatal'!H1466</f>
        <v>344652</v>
      </c>
      <c r="G46" s="561"/>
      <c r="H46" s="567">
        <v>344652</v>
      </c>
      <c r="I46" s="570"/>
      <c r="J46" s="565"/>
      <c r="K46" s="565"/>
      <c r="L46" s="566"/>
      <c r="M46" s="584"/>
    </row>
    <row r="47" spans="1:13" s="586" customFormat="1" ht="15.75">
      <c r="A47" s="588" t="str">
        <f>+'[4]10_.sz.mell._EU Hivatal'!A1475</f>
        <v>TOP-1.4.1-16-BA1-2017-00019_Almamellék</v>
      </c>
      <c r="B47" s="571">
        <f>+'[4]10_.sz.mell._EU Hivatal'!G1482</f>
        <v>117678</v>
      </c>
      <c r="C47" s="561"/>
      <c r="D47" s="567">
        <v>117678</v>
      </c>
      <c r="E47" s="570"/>
      <c r="F47" s="561">
        <f>+'[4]10_.sz.mell._EU Hivatal'!H1482</f>
        <v>117678</v>
      </c>
      <c r="G47" s="561"/>
      <c r="H47" s="567">
        <v>117678</v>
      </c>
      <c r="I47" s="570"/>
      <c r="J47" s="565"/>
      <c r="K47" s="565"/>
      <c r="L47" s="566"/>
      <c r="M47" s="584"/>
    </row>
    <row r="48" spans="1:13" s="586" customFormat="1" ht="25.5">
      <c r="A48" s="588" t="str">
        <f>+'[4]10_.sz.mell._EU Hivatal'!A1507</f>
        <v>TOP-3.2.1-16-BA1-2017 Mecseknádasd_energetikai korszerűsítés</v>
      </c>
      <c r="B48" s="571">
        <f>+'[4]10_.sz.mell._EU Hivatal'!G1514</f>
        <v>4826</v>
      </c>
      <c r="C48" s="561"/>
      <c r="D48" s="567">
        <v>4826</v>
      </c>
      <c r="E48" s="570"/>
      <c r="F48" s="561">
        <f>+'[4]10_.sz.mell._EU Hivatal'!H1514</f>
        <v>4826</v>
      </c>
      <c r="G48" s="561"/>
      <c r="H48" s="567">
        <v>4826</v>
      </c>
      <c r="I48" s="570"/>
      <c r="J48" s="565"/>
      <c r="K48" s="565"/>
      <c r="L48" s="566"/>
      <c r="M48" s="584"/>
    </row>
    <row r="49" spans="1:13" s="586" customFormat="1" ht="15.75">
      <c r="A49" s="588" t="str">
        <f>+'[4]10_.sz.mell._EU Hivatal'!A1555</f>
        <v>TOP-5.3.1-16_ Komló</v>
      </c>
      <c r="B49" s="571">
        <f>+'[4]10_.sz.mell._EU Hivatal'!G1562</f>
        <v>28956</v>
      </c>
      <c r="C49" s="561"/>
      <c r="D49" s="567">
        <v>28956</v>
      </c>
      <c r="E49" s="570"/>
      <c r="F49" s="561">
        <f>+'[4]10_.sz.mell._EU Hivatal'!H1562</f>
        <v>28956</v>
      </c>
      <c r="G49" s="561"/>
      <c r="H49" s="567">
        <v>28956</v>
      </c>
      <c r="I49" s="570"/>
      <c r="J49" s="565"/>
      <c r="K49" s="565"/>
      <c r="L49" s="566"/>
      <c r="M49" s="584"/>
    </row>
    <row r="50" spans="1:13" s="589" customFormat="1" ht="15.75">
      <c r="A50" s="588" t="s">
        <v>929</v>
      </c>
      <c r="B50" s="561"/>
      <c r="C50" s="561"/>
      <c r="D50" s="567"/>
      <c r="E50" s="570"/>
      <c r="F50" s="561">
        <v>305809</v>
      </c>
      <c r="G50" s="561"/>
      <c r="H50" s="567">
        <v>305809</v>
      </c>
      <c r="I50" s="570"/>
      <c r="J50" s="565"/>
      <c r="K50" s="565"/>
      <c r="L50" s="565"/>
      <c r="M50" s="584"/>
    </row>
    <row r="51" spans="1:13" s="586" customFormat="1" ht="15.75">
      <c r="A51" s="588" t="s">
        <v>930</v>
      </c>
      <c r="B51" s="561"/>
      <c r="C51" s="561"/>
      <c r="D51" s="567"/>
      <c r="E51" s="570"/>
      <c r="F51" s="561">
        <v>202694</v>
      </c>
      <c r="G51" s="561"/>
      <c r="H51" s="567">
        <v>202694</v>
      </c>
      <c r="I51" s="570"/>
      <c r="J51" s="580"/>
      <c r="K51" s="580"/>
      <c r="L51" s="581"/>
      <c r="M51" s="584"/>
    </row>
    <row r="52" spans="1:13" s="586" customFormat="1" ht="21" customHeight="1">
      <c r="A52" s="588" t="s">
        <v>931</v>
      </c>
      <c r="B52" s="561"/>
      <c r="C52" s="561"/>
      <c r="D52" s="567"/>
      <c r="E52" s="570"/>
      <c r="F52" s="561">
        <v>115257</v>
      </c>
      <c r="G52" s="561"/>
      <c r="H52" s="567">
        <v>115257</v>
      </c>
      <c r="I52" s="570"/>
      <c r="J52" s="582"/>
      <c r="K52" s="582"/>
      <c r="L52" s="582"/>
      <c r="M52" s="584"/>
    </row>
    <row r="53" spans="1:13" ht="15.75">
      <c r="A53" s="588" t="s">
        <v>932</v>
      </c>
      <c r="B53" s="561"/>
      <c r="C53" s="561"/>
      <c r="D53" s="567"/>
      <c r="E53" s="570"/>
      <c r="F53" s="561">
        <v>265214</v>
      </c>
      <c r="G53" s="561"/>
      <c r="H53" s="567">
        <v>265214</v>
      </c>
      <c r="I53" s="570"/>
      <c r="J53" s="583">
        <v>265214</v>
      </c>
      <c r="K53" s="583">
        <v>265214</v>
      </c>
      <c r="L53" s="583"/>
      <c r="M53" s="584">
        <f t="shared" si="0"/>
        <v>1</v>
      </c>
    </row>
    <row r="54" spans="1:13" ht="15.75">
      <c r="A54" s="588" t="s">
        <v>933</v>
      </c>
      <c r="B54" s="571"/>
      <c r="C54" s="561"/>
      <c r="D54" s="567"/>
      <c r="E54" s="570"/>
      <c r="F54" s="561">
        <v>151383</v>
      </c>
      <c r="G54" s="561"/>
      <c r="H54" s="567">
        <v>151383</v>
      </c>
      <c r="I54" s="570"/>
      <c r="J54" s="583"/>
      <c r="K54" s="583"/>
      <c r="L54" s="583"/>
      <c r="M54" s="584"/>
    </row>
    <row r="55" spans="1:13" ht="15.75">
      <c r="A55" s="588" t="s">
        <v>934</v>
      </c>
      <c r="B55" s="571"/>
      <c r="C55" s="561"/>
      <c r="D55" s="567"/>
      <c r="E55" s="570"/>
      <c r="F55" s="561">
        <f>+'[4]10_.sz.mell._EU Hivatal'!H1626</f>
        <v>99884</v>
      </c>
      <c r="G55" s="561"/>
      <c r="H55" s="567">
        <v>99884</v>
      </c>
      <c r="I55" s="570"/>
      <c r="J55" s="583"/>
      <c r="K55" s="583"/>
      <c r="L55" s="583"/>
      <c r="M55" s="584"/>
    </row>
    <row r="56" spans="1:13" ht="15.75">
      <c r="A56" s="588" t="s">
        <v>935</v>
      </c>
      <c r="B56" s="571"/>
      <c r="C56" s="561"/>
      <c r="D56" s="567"/>
      <c r="E56" s="570"/>
      <c r="F56" s="561">
        <v>122174</v>
      </c>
      <c r="G56" s="561"/>
      <c r="H56" s="567">
        <v>122174</v>
      </c>
      <c r="I56" s="570"/>
      <c r="J56" s="583"/>
      <c r="K56" s="583"/>
      <c r="L56" s="583"/>
      <c r="M56" s="584"/>
    </row>
    <row r="57" spans="1:13" ht="15.75">
      <c r="A57" s="588" t="s">
        <v>936</v>
      </c>
      <c r="B57" s="571"/>
      <c r="C57" s="561"/>
      <c r="D57" s="567"/>
      <c r="E57" s="570"/>
      <c r="F57" s="561">
        <v>66433</v>
      </c>
      <c r="G57" s="561"/>
      <c r="H57" s="567">
        <v>66433</v>
      </c>
      <c r="I57" s="570"/>
      <c r="J57" s="583"/>
      <c r="K57" s="583"/>
      <c r="L57" s="583"/>
      <c r="M57" s="584"/>
    </row>
    <row r="58" spans="1:13" ht="15.75">
      <c r="A58" s="588" t="s">
        <v>937</v>
      </c>
      <c r="B58" s="571"/>
      <c r="C58" s="561"/>
      <c r="D58" s="567"/>
      <c r="E58" s="570"/>
      <c r="F58" s="561">
        <v>66192</v>
      </c>
      <c r="G58" s="561"/>
      <c r="H58" s="567">
        <v>66192</v>
      </c>
      <c r="I58" s="570"/>
      <c r="J58" s="583">
        <v>66192</v>
      </c>
      <c r="K58" s="583">
        <v>66192</v>
      </c>
      <c r="L58" s="583"/>
      <c r="M58" s="584">
        <f t="shared" si="0"/>
        <v>1</v>
      </c>
    </row>
    <row r="59" spans="1:13" ht="15.75">
      <c r="A59" s="588" t="s">
        <v>938</v>
      </c>
      <c r="B59" s="571"/>
      <c r="C59" s="561"/>
      <c r="D59" s="567"/>
      <c r="E59" s="570"/>
      <c r="F59" s="561">
        <v>119918</v>
      </c>
      <c r="G59" s="561"/>
      <c r="H59" s="567">
        <v>119918</v>
      </c>
      <c r="I59" s="570"/>
      <c r="J59" s="583"/>
      <c r="K59" s="583"/>
      <c r="L59" s="583"/>
      <c r="M59" s="584"/>
    </row>
    <row r="60" spans="1:13" ht="15.75">
      <c r="A60" s="588" t="s">
        <v>939</v>
      </c>
      <c r="B60" s="571"/>
      <c r="C60" s="561"/>
      <c r="D60" s="567"/>
      <c r="E60" s="570"/>
      <c r="F60" s="561">
        <v>372721</v>
      </c>
      <c r="G60" s="561"/>
      <c r="H60" s="567">
        <v>372721</v>
      </c>
      <c r="I60" s="570"/>
      <c r="J60" s="583">
        <v>372721</v>
      </c>
      <c r="K60" s="583">
        <v>372721</v>
      </c>
      <c r="L60" s="583"/>
      <c r="M60" s="584">
        <f t="shared" si="0"/>
        <v>1</v>
      </c>
    </row>
    <row r="61" spans="1:13" ht="15.75">
      <c r="A61" s="590" t="s">
        <v>940</v>
      </c>
      <c r="B61" s="571">
        <f>SUM(B8:B55)</f>
        <v>55576856</v>
      </c>
      <c r="C61" s="561">
        <f>SUM(C8:C55)</f>
        <v>17800000</v>
      </c>
      <c r="D61" s="567">
        <f>SUM(D8:D55)</f>
        <v>65076856</v>
      </c>
      <c r="E61" s="570">
        <f>SUM(E8:E55)</f>
        <v>8300000</v>
      </c>
      <c r="F61" s="561">
        <f>SUM(F8:F60)</f>
        <v>61651789</v>
      </c>
      <c r="G61" s="561">
        <f>SUM(G8:G55)</f>
        <v>41426223</v>
      </c>
      <c r="H61" s="567">
        <f>SUM(H8:H60)</f>
        <v>62268012</v>
      </c>
      <c r="I61" s="570">
        <f>SUM(I8:I55)</f>
        <v>40810000</v>
      </c>
      <c r="J61" s="578">
        <f>SUM(J8:J60)</f>
        <v>50216986</v>
      </c>
      <c r="K61" s="578">
        <f>SUM(K8:K60)</f>
        <v>9885799</v>
      </c>
      <c r="L61" s="578">
        <f>SUM(L8:L60)</f>
        <v>35271187</v>
      </c>
      <c r="M61" s="584">
        <f t="shared" si="0"/>
        <v>0.8145260148087511</v>
      </c>
    </row>
    <row r="62" spans="1:13" ht="16.5" thickBot="1">
      <c r="A62" s="591" t="s">
        <v>97</v>
      </c>
      <c r="B62" s="572">
        <v>0</v>
      </c>
      <c r="C62" s="562">
        <v>20000000</v>
      </c>
      <c r="D62" s="567">
        <f>SUM(B62:C62)</f>
        <v>20000000</v>
      </c>
      <c r="E62" s="574"/>
      <c r="F62" s="562">
        <v>0</v>
      </c>
      <c r="G62" s="562">
        <v>7700000</v>
      </c>
      <c r="H62" s="577">
        <f>SUM(F62:G62)</f>
        <v>7700000</v>
      </c>
      <c r="I62" s="570"/>
      <c r="J62" s="583"/>
      <c r="K62" s="583"/>
      <c r="L62" s="583"/>
      <c r="M62" s="584"/>
    </row>
    <row r="63" spans="1:13" ht="16.5" thickBot="1">
      <c r="A63" s="592" t="s">
        <v>237</v>
      </c>
      <c r="B63" s="573">
        <f aca="true" t="shared" si="1" ref="B63:L63">SUM(B61:B62)</f>
        <v>55576856</v>
      </c>
      <c r="C63" s="563">
        <f t="shared" si="1"/>
        <v>37800000</v>
      </c>
      <c r="D63" s="575">
        <f t="shared" si="1"/>
        <v>85076856</v>
      </c>
      <c r="E63" s="576">
        <f t="shared" si="1"/>
        <v>8300000</v>
      </c>
      <c r="F63" s="563">
        <f t="shared" si="1"/>
        <v>61651789</v>
      </c>
      <c r="G63" s="563">
        <f t="shared" si="1"/>
        <v>49126223</v>
      </c>
      <c r="H63" s="575">
        <f t="shared" si="1"/>
        <v>69968012</v>
      </c>
      <c r="I63" s="576">
        <f t="shared" si="1"/>
        <v>40810000</v>
      </c>
      <c r="J63" s="576">
        <f>SUM(J61:J62)</f>
        <v>50216986</v>
      </c>
      <c r="K63" s="576">
        <f t="shared" si="1"/>
        <v>9885799</v>
      </c>
      <c r="L63" s="576">
        <f t="shared" si="1"/>
        <v>35271187</v>
      </c>
      <c r="M63" s="584">
        <f t="shared" si="0"/>
        <v>0.8145260148087511</v>
      </c>
    </row>
  </sheetData>
  <sheetProtection/>
  <autoFilter ref="M1:M52"/>
  <mergeCells count="18">
    <mergeCell ref="I1:M1"/>
    <mergeCell ref="F5:F7"/>
    <mergeCell ref="J5:J7"/>
    <mergeCell ref="K5:L5"/>
    <mergeCell ref="M5:M7"/>
    <mergeCell ref="K6:K7"/>
    <mergeCell ref="L6:L7"/>
    <mergeCell ref="H5:I5"/>
    <mergeCell ref="H6:H7"/>
    <mergeCell ref="I6:I7"/>
    <mergeCell ref="A3:M3"/>
    <mergeCell ref="C5:C7"/>
    <mergeCell ref="G5:G7"/>
    <mergeCell ref="A5:A7"/>
    <mergeCell ref="B5:B7"/>
    <mergeCell ref="D5:E5"/>
    <mergeCell ref="D6:D7"/>
    <mergeCell ref="E6:E7"/>
  </mergeCells>
  <printOptions horizontalCentered="1"/>
  <pageMargins left="0.11811023622047245" right="0.5511811023622047" top="0.35433070866141736" bottom="0.4724409448818898" header="0.5118110236220472" footer="0.4724409448818898"/>
  <pageSetup fitToHeight="1" fitToWidth="1" horizontalDpi="600" verticalDpi="600" orientation="landscape" paperSize="9" scale="45" r:id="rId1"/>
  <headerFooter alignWithMargins="0"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5"/>
  <cols>
    <col min="1" max="1" width="43.140625" style="175" customWidth="1"/>
    <col min="2" max="2" width="13.28125" style="560" customWidth="1"/>
    <col min="3" max="3" width="12.421875" style="560" bestFit="1" customWidth="1"/>
    <col min="4" max="4" width="11.140625" style="175" bestFit="1" customWidth="1"/>
    <col min="5" max="5" width="11.8515625" style="175" bestFit="1" customWidth="1"/>
    <col min="6" max="16384" width="9.140625" style="175" customWidth="1"/>
  </cols>
  <sheetData>
    <row r="1" spans="1:5" s="520" customFormat="1" ht="15" customHeight="1">
      <c r="A1" s="519"/>
      <c r="B1" s="745" t="s">
        <v>918</v>
      </c>
      <c r="C1" s="745"/>
      <c r="D1" s="745"/>
      <c r="E1" s="745"/>
    </row>
    <row r="2" spans="1:3" s="520" customFormat="1" ht="12.75">
      <c r="A2" s="521"/>
      <c r="B2" s="522"/>
      <c r="C2" s="523"/>
    </row>
    <row r="3" spans="1:5" s="520" customFormat="1" ht="12.75" customHeight="1">
      <c r="A3" s="716" t="s">
        <v>882</v>
      </c>
      <c r="B3" s="716"/>
      <c r="C3" s="716"/>
      <c r="D3" s="716"/>
      <c r="E3" s="716"/>
    </row>
    <row r="4" spans="2:3" s="520" customFormat="1" ht="12.75">
      <c r="B4" s="524"/>
      <c r="C4" s="523"/>
    </row>
    <row r="5" spans="1:5" s="520" customFormat="1" ht="13.5" thickBot="1">
      <c r="A5" s="520" t="s">
        <v>87</v>
      </c>
      <c r="B5" s="523"/>
      <c r="E5" s="335" t="s">
        <v>216</v>
      </c>
    </row>
    <row r="6" spans="1:5" s="529" customFormat="1" ht="48.75" thickBot="1">
      <c r="A6" s="525" t="s">
        <v>154</v>
      </c>
      <c r="B6" s="526" t="s">
        <v>227</v>
      </c>
      <c r="C6" s="526" t="s">
        <v>789</v>
      </c>
      <c r="D6" s="527" t="s">
        <v>303</v>
      </c>
      <c r="E6" s="528" t="s">
        <v>308</v>
      </c>
    </row>
    <row r="7" spans="1:5" s="519" customFormat="1" ht="12.75">
      <c r="A7" s="530" t="s">
        <v>238</v>
      </c>
      <c r="B7" s="531">
        <f>+B8+B9</f>
        <v>635000</v>
      </c>
      <c r="C7" s="531">
        <f>+C8+C9</f>
        <v>0</v>
      </c>
      <c r="D7" s="531">
        <f>+D8+D9</f>
        <v>0</v>
      </c>
      <c r="E7" s="532">
        <v>0</v>
      </c>
    </row>
    <row r="8" spans="1:5" s="520" customFormat="1" ht="12.75">
      <c r="A8" s="533" t="s">
        <v>219</v>
      </c>
      <c r="B8" s="534">
        <v>0</v>
      </c>
      <c r="C8" s="534">
        <f>+'10.sz. mell. EU Önk.'!N13</f>
        <v>0</v>
      </c>
      <c r="D8" s="534">
        <v>0</v>
      </c>
      <c r="E8" s="535">
        <v>0</v>
      </c>
    </row>
    <row r="9" spans="1:5" s="520" customFormat="1" ht="12.75">
      <c r="A9" s="536" t="s">
        <v>239</v>
      </c>
      <c r="B9" s="537">
        <v>635000</v>
      </c>
      <c r="C9" s="537">
        <v>0</v>
      </c>
      <c r="D9" s="537">
        <v>0</v>
      </c>
      <c r="E9" s="535">
        <v>0</v>
      </c>
    </row>
    <row r="10" spans="1:5" s="519" customFormat="1" ht="12.75">
      <c r="A10" s="538" t="s">
        <v>240</v>
      </c>
      <c r="B10" s="539">
        <f>+B11</f>
        <v>635000</v>
      </c>
      <c r="C10" s="539">
        <f>+C11</f>
        <v>0</v>
      </c>
      <c r="D10" s="539">
        <f>+D11</f>
        <v>0</v>
      </c>
      <c r="E10" s="535">
        <v>0</v>
      </c>
    </row>
    <row r="11" spans="1:5" s="519" customFormat="1" ht="13.5" thickBot="1">
      <c r="A11" s="536" t="s">
        <v>241</v>
      </c>
      <c r="B11" s="540">
        <v>635000</v>
      </c>
      <c r="C11" s="540">
        <v>0</v>
      </c>
      <c r="D11" s="540">
        <v>0</v>
      </c>
      <c r="E11" s="541">
        <v>0</v>
      </c>
    </row>
    <row r="12" spans="1:5" s="520" customFormat="1" ht="13.5" thickBot="1">
      <c r="A12" s="542" t="s">
        <v>237</v>
      </c>
      <c r="B12" s="543">
        <f>+B7+B10</f>
        <v>1270000</v>
      </c>
      <c r="C12" s="543">
        <f>+C7+C10</f>
        <v>0</v>
      </c>
      <c r="D12" s="543">
        <f>+D7+D10</f>
        <v>0</v>
      </c>
      <c r="E12" s="544">
        <v>0</v>
      </c>
    </row>
    <row r="13" spans="1:3" s="520" customFormat="1" ht="12.75">
      <c r="A13" s="545"/>
      <c r="B13" s="523"/>
      <c r="C13" s="523"/>
    </row>
    <row r="14" spans="1:5" s="520" customFormat="1" ht="15" thickBot="1">
      <c r="A14" s="545" t="s">
        <v>131</v>
      </c>
      <c r="B14" s="523"/>
      <c r="C14" s="546"/>
      <c r="E14" s="335" t="s">
        <v>216</v>
      </c>
    </row>
    <row r="15" spans="1:5" s="529" customFormat="1" ht="48.75" thickBot="1">
      <c r="A15" s="525" t="s">
        <v>154</v>
      </c>
      <c r="B15" s="526" t="s">
        <v>227</v>
      </c>
      <c r="C15" s="526" t="s">
        <v>789</v>
      </c>
      <c r="D15" s="527" t="s">
        <v>303</v>
      </c>
      <c r="E15" s="528" t="s">
        <v>308</v>
      </c>
    </row>
    <row r="16" spans="1:5" s="519" customFormat="1" ht="12.75">
      <c r="A16" s="547" t="s">
        <v>238</v>
      </c>
      <c r="B16" s="548">
        <f>+B17+B18</f>
        <v>180297867</v>
      </c>
      <c r="C16" s="548">
        <f>SUM(C17:C18)</f>
        <v>209750697</v>
      </c>
      <c r="D16" s="548">
        <f>SUM(D17:D18)</f>
        <v>126731307</v>
      </c>
      <c r="E16" s="532">
        <f>D16/C16</f>
        <v>0.6041996942684772</v>
      </c>
    </row>
    <row r="17" spans="1:5" s="520" customFormat="1" ht="12.75">
      <c r="A17" s="533" t="s">
        <v>219</v>
      </c>
      <c r="B17" s="534">
        <v>179027867</v>
      </c>
      <c r="C17" s="534">
        <v>195101628</v>
      </c>
      <c r="D17" s="534">
        <v>112082238</v>
      </c>
      <c r="E17" s="549">
        <f aca="true" t="shared" si="0" ref="E17:E22">D17/C17</f>
        <v>0.5744813057121184</v>
      </c>
    </row>
    <row r="18" spans="1:5" s="520" customFormat="1" ht="12.75">
      <c r="A18" s="550" t="s">
        <v>242</v>
      </c>
      <c r="B18" s="534">
        <v>1270000</v>
      </c>
      <c r="C18" s="534">
        <v>14649069</v>
      </c>
      <c r="D18" s="534">
        <v>14649069</v>
      </c>
      <c r="E18" s="549">
        <f t="shared" si="0"/>
        <v>1</v>
      </c>
    </row>
    <row r="19" spans="1:5" s="519" customFormat="1" ht="12.75">
      <c r="A19" s="551" t="s">
        <v>240</v>
      </c>
      <c r="B19" s="539">
        <f>+B20+B21</f>
        <v>2918000</v>
      </c>
      <c r="C19" s="539">
        <f>+C20+C21</f>
        <v>38894950</v>
      </c>
      <c r="D19" s="539">
        <f>+D20+D21</f>
        <v>24152894</v>
      </c>
      <c r="E19" s="535">
        <f t="shared" si="0"/>
        <v>0.620977633343146</v>
      </c>
    </row>
    <row r="20" spans="1:5" s="520" customFormat="1" ht="12.75">
      <c r="A20" s="550" t="str">
        <f>+'[1]12.sz.mell._EU Hivatal'!A4</f>
        <v>Pályázatok összesen</v>
      </c>
      <c r="B20" s="552">
        <v>1648000</v>
      </c>
      <c r="C20" s="552">
        <v>7144950</v>
      </c>
      <c r="D20" s="552">
        <v>4394950</v>
      </c>
      <c r="E20" s="549">
        <f t="shared" si="0"/>
        <v>0.6151127719578163</v>
      </c>
    </row>
    <row r="21" spans="1:5" s="520" customFormat="1" ht="13.5" thickBot="1">
      <c r="A21" s="550" t="s">
        <v>242</v>
      </c>
      <c r="B21" s="552">
        <v>1270000</v>
      </c>
      <c r="C21" s="552">
        <v>31750000</v>
      </c>
      <c r="D21" s="552">
        <v>19757944</v>
      </c>
      <c r="E21" s="553">
        <f t="shared" si="0"/>
        <v>0.6222974488188976</v>
      </c>
    </row>
    <row r="22" spans="1:5" s="520" customFormat="1" ht="13.5" thickBot="1">
      <c r="A22" s="542" t="s">
        <v>237</v>
      </c>
      <c r="B22" s="543">
        <v>333706676.58</v>
      </c>
      <c r="C22" s="543">
        <f>+C16+C19</f>
        <v>248645647</v>
      </c>
      <c r="D22" s="543">
        <f>+D16+D19</f>
        <v>150884201</v>
      </c>
      <c r="E22" s="544">
        <f t="shared" si="0"/>
        <v>0.6068242208157378</v>
      </c>
    </row>
    <row r="23" spans="2:3" s="520" customFormat="1" ht="12.75">
      <c r="B23" s="554"/>
      <c r="C23" s="523"/>
    </row>
    <row r="24" spans="1:5" s="520" customFormat="1" ht="15" thickBot="1">
      <c r="A24" s="520" t="s">
        <v>90</v>
      </c>
      <c r="B24" s="523"/>
      <c r="C24" s="546"/>
      <c r="E24" s="335" t="s">
        <v>216</v>
      </c>
    </row>
    <row r="25" spans="1:5" s="529" customFormat="1" ht="48.75" thickBot="1">
      <c r="A25" s="525" t="s">
        <v>154</v>
      </c>
      <c r="B25" s="526" t="s">
        <v>227</v>
      </c>
      <c r="C25" s="526" t="s">
        <v>789</v>
      </c>
      <c r="D25" s="527" t="s">
        <v>303</v>
      </c>
      <c r="E25" s="528" t="s">
        <v>308</v>
      </c>
    </row>
    <row r="26" spans="1:5" s="520" customFormat="1" ht="12.75">
      <c r="A26" s="555" t="s">
        <v>238</v>
      </c>
      <c r="B26" s="556">
        <f>+'10.sz. mell. EU Önk.'!I14+'11.sz. mell. Hazai Önk.'!I14</f>
        <v>0</v>
      </c>
      <c r="C26" s="556">
        <f>+'10.sz. mell. EU Önk.'!J14+'11.sz. mell. Hazai Önk.'!J14</f>
        <v>0</v>
      </c>
      <c r="D26" s="556">
        <f>+'10.sz. mell. EU Önk.'!K14+'11.sz. mell. Hazai Önk.'!K14</f>
        <v>0</v>
      </c>
      <c r="E26" s="557">
        <v>0</v>
      </c>
    </row>
    <row r="27" spans="1:5" s="520" customFormat="1" ht="13.5" thickBot="1">
      <c r="A27" s="558" t="s">
        <v>240</v>
      </c>
      <c r="B27" s="537">
        <v>0</v>
      </c>
      <c r="C27" s="537">
        <f>'12.sz. mell.EU Hivatal'!J14+'13.sz.mell.egyéb Hivatal'!J15</f>
        <v>614157</v>
      </c>
      <c r="D27" s="537">
        <v>614157</v>
      </c>
      <c r="E27" s="553">
        <f>D27/C27</f>
        <v>1</v>
      </c>
    </row>
    <row r="28" spans="1:5" s="520" customFormat="1" ht="13.5" thickBot="1">
      <c r="A28" s="542" t="s">
        <v>237</v>
      </c>
      <c r="B28" s="559">
        <f>+B27+B26</f>
        <v>0</v>
      </c>
      <c r="C28" s="559">
        <f>+C27+C26</f>
        <v>614157</v>
      </c>
      <c r="D28" s="559">
        <f>+D27+D26</f>
        <v>614157</v>
      </c>
      <c r="E28" s="544">
        <f>D28/C28</f>
        <v>1</v>
      </c>
    </row>
  </sheetData>
  <sheetProtection/>
  <mergeCells count="2">
    <mergeCell ref="B1:E1"/>
    <mergeCell ref="A3:E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2"/>
  <sheetViews>
    <sheetView view="pageBreakPreview" zoomScale="85" zoomScaleNormal="60" zoomScaleSheetLayoutView="85" zoomScalePageLayoutView="0" workbookViewId="0" topLeftCell="A1">
      <selection activeCell="K104" sqref="K104"/>
    </sheetView>
  </sheetViews>
  <sheetFormatPr defaultColWidth="9.140625" defaultRowHeight="24.75" customHeight="1"/>
  <cols>
    <col min="1" max="1" width="6.28125" style="72" customWidth="1"/>
    <col min="2" max="2" width="52.7109375" style="72" bestFit="1" customWidth="1"/>
    <col min="3" max="6" width="15.8515625" style="73" customWidth="1"/>
    <col min="7" max="7" width="6.7109375" style="72" customWidth="1"/>
    <col min="8" max="8" width="59.7109375" style="72" bestFit="1" customWidth="1"/>
    <col min="9" max="10" width="15.8515625" style="73" customWidth="1"/>
    <col min="11" max="12" width="15.8515625" style="72" customWidth="1"/>
    <col min="13" max="13" width="11.140625" style="72" bestFit="1" customWidth="1"/>
    <col min="14" max="14" width="12.00390625" style="72" bestFit="1" customWidth="1"/>
    <col min="15" max="16384" width="9.140625" style="72" customWidth="1"/>
  </cols>
  <sheetData>
    <row r="1" spans="1:14" ht="14.25">
      <c r="A1" s="124"/>
      <c r="B1" s="201"/>
      <c r="C1" s="201"/>
      <c r="D1" s="201"/>
      <c r="E1" s="202"/>
      <c r="F1" s="202"/>
      <c r="G1" s="201"/>
      <c r="H1" s="124"/>
      <c r="I1" s="748" t="s">
        <v>919</v>
      </c>
      <c r="J1" s="748"/>
      <c r="K1" s="748"/>
      <c r="L1" s="748"/>
      <c r="M1" s="74"/>
      <c r="N1" s="74"/>
    </row>
    <row r="2" spans="1:12" ht="27.75" customHeight="1">
      <c r="A2" s="750" t="s">
        <v>883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</row>
    <row r="3" spans="1:12" ht="16.5" thickBot="1">
      <c r="A3" s="203" t="s">
        <v>219</v>
      </c>
      <c r="B3" s="124"/>
      <c r="C3" s="125"/>
      <c r="D3" s="125"/>
      <c r="E3" s="125"/>
      <c r="F3" s="125"/>
      <c r="G3" s="124"/>
      <c r="H3" s="124"/>
      <c r="I3" s="130"/>
      <c r="J3" s="130"/>
      <c r="K3" s="130"/>
      <c r="L3" s="130" t="s">
        <v>216</v>
      </c>
    </row>
    <row r="4" spans="1:12" s="83" customFormat="1" ht="39.75" customHeight="1">
      <c r="A4" s="96"/>
      <c r="B4" s="97" t="s">
        <v>104</v>
      </c>
      <c r="C4" s="86" t="s">
        <v>227</v>
      </c>
      <c r="D4" s="86" t="s">
        <v>789</v>
      </c>
      <c r="E4" s="86" t="s">
        <v>303</v>
      </c>
      <c r="F4" s="87" t="s">
        <v>304</v>
      </c>
      <c r="G4" s="96"/>
      <c r="H4" s="97" t="s">
        <v>105</v>
      </c>
      <c r="I4" s="86" t="s">
        <v>227</v>
      </c>
      <c r="J4" s="86" t="s">
        <v>789</v>
      </c>
      <c r="K4" s="86" t="s">
        <v>303</v>
      </c>
      <c r="L4" s="87" t="s">
        <v>304</v>
      </c>
    </row>
    <row r="5" spans="1:13" ht="19.5" customHeight="1">
      <c r="A5" s="99" t="s">
        <v>23</v>
      </c>
      <c r="B5" s="100" t="s">
        <v>108</v>
      </c>
      <c r="C5" s="101">
        <f>+C21+C37+C53+C69+C85+C101+C117</f>
        <v>82641252</v>
      </c>
      <c r="D5" s="101">
        <f>+D21+D37+D53+D69+D85+D101+D117</f>
        <v>82641252</v>
      </c>
      <c r="E5" s="101">
        <f>+E21+E37+E53+E69+E85+E101+E117</f>
        <v>50299588</v>
      </c>
      <c r="F5" s="102">
        <f>+E5/D5</f>
        <v>0.6086498786344621</v>
      </c>
      <c r="G5" s="99" t="s">
        <v>23</v>
      </c>
      <c r="H5" s="100" t="s">
        <v>129</v>
      </c>
      <c r="I5" s="101">
        <f>+I21+I37+I53+I69+I85+I101+I117</f>
        <v>217193874</v>
      </c>
      <c r="J5" s="101">
        <f>+J21+J37+J53+J69+J85+J101+J117</f>
        <v>222313990</v>
      </c>
      <c r="K5" s="101">
        <f>+K21+K37+K53+K69+K85+K101+K117</f>
        <v>98439290</v>
      </c>
      <c r="L5" s="102">
        <f>+K5/J5</f>
        <v>0.4427939510239549</v>
      </c>
      <c r="M5" s="78"/>
    </row>
    <row r="6" spans="1:13" ht="19.5" customHeight="1">
      <c r="A6" s="99" t="s">
        <v>111</v>
      </c>
      <c r="B6" s="127" t="s">
        <v>209</v>
      </c>
      <c r="C6" s="101">
        <f aca="true" t="shared" si="0" ref="C6:E17">+C22+C38+C54+C70+C86+C102+C118</f>
        <v>38249107</v>
      </c>
      <c r="D6" s="101">
        <f t="shared" si="0"/>
        <v>38249107</v>
      </c>
      <c r="E6" s="101">
        <f t="shared" si="0"/>
        <v>20055115</v>
      </c>
      <c r="F6" s="102">
        <f>+E6/D6</f>
        <v>0.5243289732228258</v>
      </c>
      <c r="G6" s="99" t="s">
        <v>111</v>
      </c>
      <c r="H6" s="127" t="s">
        <v>80</v>
      </c>
      <c r="I6" s="101">
        <f aca="true" t="shared" si="1" ref="I6:K17">+I22+I38+I54+I70+I86+I102+I118</f>
        <v>42156915</v>
      </c>
      <c r="J6" s="101">
        <f t="shared" si="1"/>
        <v>42156915</v>
      </c>
      <c r="K6" s="101">
        <f t="shared" si="1"/>
        <v>21472597</v>
      </c>
      <c r="L6" s="102">
        <f>+K6/J6</f>
        <v>0.5093493439925574</v>
      </c>
      <c r="M6" s="78"/>
    </row>
    <row r="7" spans="1:13" ht="19.5" customHeight="1">
      <c r="A7" s="99"/>
      <c r="B7" s="128" t="s">
        <v>210</v>
      </c>
      <c r="C7" s="101">
        <f t="shared" si="0"/>
        <v>38249107</v>
      </c>
      <c r="D7" s="101">
        <f t="shared" si="0"/>
        <v>38249107</v>
      </c>
      <c r="E7" s="101">
        <f t="shared" si="0"/>
        <v>20055115</v>
      </c>
      <c r="F7" s="102">
        <f>+E7/D7</f>
        <v>0.5243289732228258</v>
      </c>
      <c r="G7" s="99" t="s">
        <v>112</v>
      </c>
      <c r="H7" s="128" t="s">
        <v>147</v>
      </c>
      <c r="I7" s="101">
        <f t="shared" si="1"/>
        <v>11749053</v>
      </c>
      <c r="J7" s="101">
        <f t="shared" si="1"/>
        <v>11749053</v>
      </c>
      <c r="K7" s="101">
        <f t="shared" si="1"/>
        <v>3177010</v>
      </c>
      <c r="L7" s="102">
        <f>+K7/J7</f>
        <v>0.2704056233298122</v>
      </c>
      <c r="M7" s="78"/>
    </row>
    <row r="8" spans="1:13" ht="19.5" customHeight="1">
      <c r="A8" s="99" t="s">
        <v>112</v>
      </c>
      <c r="B8" s="129" t="s">
        <v>9</v>
      </c>
      <c r="C8" s="101"/>
      <c r="D8" s="101"/>
      <c r="E8" s="101"/>
      <c r="F8" s="102"/>
      <c r="G8" s="99" t="s">
        <v>113</v>
      </c>
      <c r="H8" s="129" t="s">
        <v>83</v>
      </c>
      <c r="I8" s="101">
        <f t="shared" si="1"/>
        <v>163287906</v>
      </c>
      <c r="J8" s="101">
        <f t="shared" si="1"/>
        <v>168408022</v>
      </c>
      <c r="K8" s="101">
        <f t="shared" si="1"/>
        <v>73789683</v>
      </c>
      <c r="L8" s="102">
        <f>+K8/J8</f>
        <v>0.438160142988913</v>
      </c>
      <c r="M8" s="78"/>
    </row>
    <row r="9" spans="1:13" ht="19.5" customHeight="1">
      <c r="A9" s="99" t="s">
        <v>113</v>
      </c>
      <c r="B9" s="100" t="s">
        <v>170</v>
      </c>
      <c r="C9" s="101"/>
      <c r="D9" s="101"/>
      <c r="E9" s="101"/>
      <c r="F9" s="102"/>
      <c r="G9" s="99" t="s">
        <v>114</v>
      </c>
      <c r="H9" s="100" t="s">
        <v>84</v>
      </c>
      <c r="I9" s="101"/>
      <c r="J9" s="101"/>
      <c r="K9" s="101"/>
      <c r="L9" s="102"/>
      <c r="M9" s="78"/>
    </row>
    <row r="10" spans="1:13" ht="19.5" customHeight="1">
      <c r="A10" s="99" t="s">
        <v>114</v>
      </c>
      <c r="B10" s="129" t="s">
        <v>181</v>
      </c>
      <c r="C10" s="101">
        <f t="shared" si="0"/>
        <v>44392145</v>
      </c>
      <c r="D10" s="101">
        <f t="shared" si="0"/>
        <v>44392145</v>
      </c>
      <c r="E10" s="101">
        <f t="shared" si="0"/>
        <v>30244473</v>
      </c>
      <c r="F10" s="102">
        <f>+E10/D10</f>
        <v>0.6813023565317693</v>
      </c>
      <c r="G10" s="99" t="s">
        <v>115</v>
      </c>
      <c r="H10" s="129" t="s">
        <v>211</v>
      </c>
      <c r="I10" s="101"/>
      <c r="J10" s="101"/>
      <c r="K10" s="101"/>
      <c r="L10" s="102"/>
      <c r="M10" s="78"/>
    </row>
    <row r="11" spans="1:13" ht="19.5" customHeight="1">
      <c r="A11" s="112" t="s">
        <v>45</v>
      </c>
      <c r="B11" s="100" t="s">
        <v>118</v>
      </c>
      <c r="C11" s="101">
        <f t="shared" si="0"/>
        <v>80882989</v>
      </c>
      <c r="D11" s="101">
        <f t="shared" si="0"/>
        <v>18418702</v>
      </c>
      <c r="E11" s="101">
        <f t="shared" si="0"/>
        <v>17279601</v>
      </c>
      <c r="F11" s="102">
        <f>+E11/D11</f>
        <v>0.9381551968211441</v>
      </c>
      <c r="G11" s="112" t="s">
        <v>45</v>
      </c>
      <c r="H11" s="100" t="s">
        <v>130</v>
      </c>
      <c r="I11" s="101">
        <f t="shared" si="1"/>
        <v>182409566</v>
      </c>
      <c r="J11" s="101">
        <f t="shared" si="1"/>
        <v>114825163</v>
      </c>
      <c r="K11" s="101">
        <f t="shared" si="1"/>
        <v>103805773</v>
      </c>
      <c r="L11" s="102">
        <f>+K11/J11</f>
        <v>0.9040333171571461</v>
      </c>
      <c r="M11" s="78"/>
    </row>
    <row r="12" spans="1:13" ht="19.5" customHeight="1">
      <c r="A12" s="112" t="s">
        <v>111</v>
      </c>
      <c r="B12" s="129" t="s">
        <v>106</v>
      </c>
      <c r="C12" s="101">
        <f t="shared" si="0"/>
        <v>80882989</v>
      </c>
      <c r="D12" s="101">
        <f t="shared" si="0"/>
        <v>18418702</v>
      </c>
      <c r="E12" s="101">
        <f t="shared" si="0"/>
        <v>17279601</v>
      </c>
      <c r="F12" s="102">
        <f>+E12/D12</f>
        <v>0.9381551968211441</v>
      </c>
      <c r="G12" s="112" t="s">
        <v>111</v>
      </c>
      <c r="H12" s="129" t="s">
        <v>131</v>
      </c>
      <c r="I12" s="101">
        <f t="shared" si="1"/>
        <v>182409566</v>
      </c>
      <c r="J12" s="101">
        <f t="shared" si="1"/>
        <v>114825163</v>
      </c>
      <c r="K12" s="101">
        <f t="shared" si="1"/>
        <v>103805773</v>
      </c>
      <c r="L12" s="102">
        <f>+K12/J12</f>
        <v>0.9040333171571461</v>
      </c>
      <c r="M12" s="78"/>
    </row>
    <row r="13" spans="1:13" ht="19.5" customHeight="1">
      <c r="A13" s="112" t="s">
        <v>112</v>
      </c>
      <c r="B13" s="116" t="s">
        <v>39</v>
      </c>
      <c r="C13" s="101"/>
      <c r="D13" s="101"/>
      <c r="E13" s="101"/>
      <c r="F13" s="102"/>
      <c r="G13" s="112" t="s">
        <v>112</v>
      </c>
      <c r="H13" s="116" t="s">
        <v>87</v>
      </c>
      <c r="I13" s="101"/>
      <c r="J13" s="101"/>
      <c r="K13" s="101"/>
      <c r="L13" s="102"/>
      <c r="M13" s="78"/>
    </row>
    <row r="14" spans="1:13" ht="19.5" customHeight="1">
      <c r="A14" s="112" t="s">
        <v>113</v>
      </c>
      <c r="B14" s="129" t="s">
        <v>201</v>
      </c>
      <c r="C14" s="101"/>
      <c r="D14" s="101"/>
      <c r="E14" s="101"/>
      <c r="F14" s="102"/>
      <c r="G14" s="112" t="s">
        <v>113</v>
      </c>
      <c r="H14" s="129" t="s">
        <v>90</v>
      </c>
      <c r="I14" s="101"/>
      <c r="J14" s="101"/>
      <c r="K14" s="101"/>
      <c r="L14" s="102"/>
      <c r="M14" s="78"/>
    </row>
    <row r="15" spans="1:14" ht="19.5" customHeight="1">
      <c r="A15" s="112" t="s">
        <v>56</v>
      </c>
      <c r="B15" s="100" t="s">
        <v>126</v>
      </c>
      <c r="C15" s="101">
        <f t="shared" si="0"/>
        <v>159948307</v>
      </c>
      <c r="D15" s="101">
        <f t="shared" si="0"/>
        <v>159948307</v>
      </c>
      <c r="E15" s="101">
        <f t="shared" si="0"/>
        <v>159948307</v>
      </c>
      <c r="F15" s="102">
        <f>+E15/D15</f>
        <v>1</v>
      </c>
      <c r="G15" s="112" t="s">
        <v>56</v>
      </c>
      <c r="H15" s="100" t="s">
        <v>132</v>
      </c>
      <c r="I15" s="101">
        <f t="shared" si="1"/>
        <v>17172086</v>
      </c>
      <c r="J15" s="101">
        <f t="shared" si="1"/>
        <v>17172086</v>
      </c>
      <c r="K15" s="101">
        <f t="shared" si="1"/>
        <v>0</v>
      </c>
      <c r="L15" s="102">
        <f>+K15/J15</f>
        <v>0</v>
      </c>
      <c r="M15" s="78"/>
      <c r="N15" s="78"/>
    </row>
    <row r="16" spans="1:13" ht="19.5" customHeight="1">
      <c r="A16" s="99" t="s">
        <v>64</v>
      </c>
      <c r="B16" s="116" t="s">
        <v>127</v>
      </c>
      <c r="C16" s="101">
        <f t="shared" si="0"/>
        <v>93302978</v>
      </c>
      <c r="D16" s="101">
        <f t="shared" si="0"/>
        <v>93302978</v>
      </c>
      <c r="E16" s="101">
        <f t="shared" si="0"/>
        <v>93302978</v>
      </c>
      <c r="F16" s="102">
        <f>+E16/D16</f>
        <v>1</v>
      </c>
      <c r="G16" s="99" t="s">
        <v>64</v>
      </c>
      <c r="H16" s="116" t="s">
        <v>133</v>
      </c>
      <c r="I16" s="101"/>
      <c r="J16" s="101"/>
      <c r="K16" s="101"/>
      <c r="L16" s="102"/>
      <c r="M16" s="78"/>
    </row>
    <row r="17" spans="1:13" ht="19.5" customHeight="1" thickBot="1">
      <c r="A17" s="117"/>
      <c r="B17" s="118" t="s">
        <v>148</v>
      </c>
      <c r="C17" s="88">
        <f t="shared" si="0"/>
        <v>416775526</v>
      </c>
      <c r="D17" s="88">
        <f t="shared" si="0"/>
        <v>354311239</v>
      </c>
      <c r="E17" s="88">
        <f t="shared" si="0"/>
        <v>306535373</v>
      </c>
      <c r="F17" s="119">
        <f>+E17/D17</f>
        <v>0.8651584800560053</v>
      </c>
      <c r="G17" s="117"/>
      <c r="H17" s="118" t="s">
        <v>149</v>
      </c>
      <c r="I17" s="88">
        <f t="shared" si="1"/>
        <v>416775526</v>
      </c>
      <c r="J17" s="88">
        <f t="shared" si="1"/>
        <v>354311239</v>
      </c>
      <c r="K17" s="88">
        <f t="shared" si="1"/>
        <v>202245063</v>
      </c>
      <c r="L17" s="119">
        <f>+K17/J17</f>
        <v>0.5708118759393912</v>
      </c>
      <c r="M17" s="78"/>
    </row>
    <row r="18" spans="1:12" s="124" customFormat="1" ht="14.25">
      <c r="A18" s="123"/>
      <c r="B18" s="123"/>
      <c r="C18" s="130"/>
      <c r="D18" s="130"/>
      <c r="E18" s="130"/>
      <c r="F18" s="130"/>
      <c r="G18" s="123"/>
      <c r="I18" s="130"/>
      <c r="J18" s="130"/>
      <c r="K18" s="130"/>
      <c r="L18" s="130"/>
    </row>
    <row r="19" spans="1:12" s="124" customFormat="1" ht="15" thickBot="1">
      <c r="A19" s="124" t="s">
        <v>220</v>
      </c>
      <c r="C19" s="125"/>
      <c r="D19" s="125"/>
      <c r="E19" s="125"/>
      <c r="F19" s="125"/>
      <c r="I19" s="130"/>
      <c r="J19" s="130"/>
      <c r="K19" s="130"/>
      <c r="L19" s="130" t="s">
        <v>216</v>
      </c>
    </row>
    <row r="20" spans="1:12" s="123" customFormat="1" ht="39.75" customHeight="1">
      <c r="A20" s="96"/>
      <c r="B20" s="97" t="s">
        <v>104</v>
      </c>
      <c r="C20" s="86" t="s">
        <v>227</v>
      </c>
      <c r="D20" s="86" t="s">
        <v>789</v>
      </c>
      <c r="E20" s="86" t="s">
        <v>303</v>
      </c>
      <c r="F20" s="87" t="s">
        <v>304</v>
      </c>
      <c r="G20" s="96"/>
      <c r="H20" s="97" t="s">
        <v>105</v>
      </c>
      <c r="I20" s="86" t="s">
        <v>227</v>
      </c>
      <c r="J20" s="86" t="s">
        <v>789</v>
      </c>
      <c r="K20" s="86" t="s">
        <v>303</v>
      </c>
      <c r="L20" s="87" t="s">
        <v>304</v>
      </c>
    </row>
    <row r="21" spans="1:12" s="124" customFormat="1" ht="19.5" customHeight="1">
      <c r="A21" s="99" t="s">
        <v>23</v>
      </c>
      <c r="B21" s="100" t="s">
        <v>108</v>
      </c>
      <c r="C21" s="101"/>
      <c r="D21" s="101"/>
      <c r="E21" s="101"/>
      <c r="F21" s="102"/>
      <c r="G21" s="99" t="s">
        <v>23</v>
      </c>
      <c r="H21" s="100" t="s">
        <v>129</v>
      </c>
      <c r="I21" s="135">
        <v>99118937</v>
      </c>
      <c r="J21" s="101">
        <f>SUM(J22:J26)</f>
        <v>108918420</v>
      </c>
      <c r="K21" s="601">
        <f>K22+K23+K24+K26</f>
        <v>81992640</v>
      </c>
      <c r="L21" s="102">
        <f>+K21/J21</f>
        <v>0.752789473075353</v>
      </c>
    </row>
    <row r="22" spans="1:12" s="124" customFormat="1" ht="19.5" customHeight="1">
      <c r="A22" s="99" t="s">
        <v>111</v>
      </c>
      <c r="B22" s="127" t="s">
        <v>209</v>
      </c>
      <c r="C22" s="131"/>
      <c r="D22" s="106"/>
      <c r="E22" s="101"/>
      <c r="F22" s="102"/>
      <c r="G22" s="99" t="s">
        <v>111</v>
      </c>
      <c r="H22" s="127" t="s">
        <v>80</v>
      </c>
      <c r="I22" s="136">
        <v>26217314</v>
      </c>
      <c r="J22" s="106">
        <v>26217314</v>
      </c>
      <c r="K22" s="602">
        <v>11340913</v>
      </c>
      <c r="L22" s="599">
        <f aca="true" t="shared" si="2" ref="L22:L33">+K22/J22</f>
        <v>0.432573413126913</v>
      </c>
    </row>
    <row r="23" spans="1:12" s="124" customFormat="1" ht="19.5" customHeight="1">
      <c r="A23" s="99"/>
      <c r="B23" s="128" t="s">
        <v>210</v>
      </c>
      <c r="C23" s="132"/>
      <c r="D23" s="106"/>
      <c r="E23" s="101"/>
      <c r="F23" s="102"/>
      <c r="G23" s="99" t="s">
        <v>112</v>
      </c>
      <c r="H23" s="128" t="s">
        <v>147</v>
      </c>
      <c r="I23" s="136">
        <v>7796643</v>
      </c>
      <c r="J23" s="106">
        <v>7796643</v>
      </c>
      <c r="K23" s="602">
        <v>1394979</v>
      </c>
      <c r="L23" s="599">
        <f t="shared" si="2"/>
        <v>0.17892046615447188</v>
      </c>
    </row>
    <row r="24" spans="1:12" s="124" customFormat="1" ht="19.5" customHeight="1">
      <c r="A24" s="99" t="s">
        <v>112</v>
      </c>
      <c r="B24" s="129" t="s">
        <v>9</v>
      </c>
      <c r="C24" s="106"/>
      <c r="D24" s="106"/>
      <c r="E24" s="101"/>
      <c r="F24" s="102"/>
      <c r="G24" s="99" t="s">
        <v>113</v>
      </c>
      <c r="H24" s="129" t="s">
        <v>83</v>
      </c>
      <c r="I24" s="136">
        <v>65104980</v>
      </c>
      <c r="J24" s="106">
        <v>74904463</v>
      </c>
      <c r="K24" s="602">
        <v>69256748</v>
      </c>
      <c r="L24" s="599">
        <f t="shared" si="2"/>
        <v>0.9246010881888306</v>
      </c>
    </row>
    <row r="25" spans="1:12" s="124" customFormat="1" ht="19.5" customHeight="1">
      <c r="A25" s="99" t="s">
        <v>113</v>
      </c>
      <c r="B25" s="100" t="s">
        <v>170</v>
      </c>
      <c r="C25" s="106"/>
      <c r="D25" s="106"/>
      <c r="E25" s="101"/>
      <c r="F25" s="102"/>
      <c r="G25" s="99" t="s">
        <v>114</v>
      </c>
      <c r="H25" s="100" t="s">
        <v>84</v>
      </c>
      <c r="I25" s="136"/>
      <c r="J25" s="106"/>
      <c r="K25" s="601"/>
      <c r="L25" s="102"/>
    </row>
    <row r="26" spans="1:12" s="124" customFormat="1" ht="19.5" customHeight="1">
      <c r="A26" s="99" t="s">
        <v>114</v>
      </c>
      <c r="B26" s="129" t="s">
        <v>181</v>
      </c>
      <c r="C26" s="106"/>
      <c r="D26" s="106"/>
      <c r="E26" s="101"/>
      <c r="F26" s="102"/>
      <c r="G26" s="99" t="s">
        <v>115</v>
      </c>
      <c r="H26" s="129" t="s">
        <v>211</v>
      </c>
      <c r="I26" s="136"/>
      <c r="J26" s="106"/>
      <c r="K26" s="601"/>
      <c r="L26" s="102"/>
    </row>
    <row r="27" spans="1:12" s="124" customFormat="1" ht="19.5" customHeight="1">
      <c r="A27" s="112" t="s">
        <v>45</v>
      </c>
      <c r="B27" s="100" t="s">
        <v>118</v>
      </c>
      <c r="C27" s="101">
        <v>63031335</v>
      </c>
      <c r="D27" s="101">
        <f>SUM(D28:D30)</f>
        <v>567048</v>
      </c>
      <c r="E27" s="101">
        <f>+E28+E29+E30</f>
        <v>0</v>
      </c>
      <c r="F27" s="102">
        <f>+E27/D27</f>
        <v>0</v>
      </c>
      <c r="G27" s="112" t="s">
        <v>45</v>
      </c>
      <c r="H27" s="100" t="s">
        <v>130</v>
      </c>
      <c r="I27" s="135">
        <v>84989431</v>
      </c>
      <c r="J27" s="101">
        <f>SUM(J28:J30)</f>
        <v>12725661</v>
      </c>
      <c r="K27" s="601">
        <f>+K28+K29+K30</f>
        <v>3900000</v>
      </c>
      <c r="L27" s="102">
        <f t="shared" si="2"/>
        <v>0.3064673811442879</v>
      </c>
    </row>
    <row r="28" spans="1:12" s="124" customFormat="1" ht="19.5" customHeight="1">
      <c r="A28" s="112" t="s">
        <v>111</v>
      </c>
      <c r="B28" s="129" t="s">
        <v>106</v>
      </c>
      <c r="C28" s="106">
        <v>63031335</v>
      </c>
      <c r="D28" s="106">
        <v>567048</v>
      </c>
      <c r="E28" s="106">
        <v>0</v>
      </c>
      <c r="F28" s="599">
        <f>+E28/D28</f>
        <v>0</v>
      </c>
      <c r="G28" s="112" t="s">
        <v>111</v>
      </c>
      <c r="H28" s="129" t="s">
        <v>131</v>
      </c>
      <c r="I28" s="137">
        <v>84989431</v>
      </c>
      <c r="J28" s="106">
        <v>12725661</v>
      </c>
      <c r="K28" s="602">
        <v>3900000</v>
      </c>
      <c r="L28" s="599">
        <f t="shared" si="2"/>
        <v>0.3064673811442879</v>
      </c>
    </row>
    <row r="29" spans="1:12" s="124" customFormat="1" ht="19.5" customHeight="1">
      <c r="A29" s="112" t="s">
        <v>112</v>
      </c>
      <c r="B29" s="116" t="s">
        <v>39</v>
      </c>
      <c r="C29" s="133"/>
      <c r="D29" s="106"/>
      <c r="E29" s="101"/>
      <c r="F29" s="102"/>
      <c r="G29" s="112" t="s">
        <v>112</v>
      </c>
      <c r="H29" s="116" t="s">
        <v>87</v>
      </c>
      <c r="I29" s="137"/>
      <c r="J29" s="106"/>
      <c r="K29" s="601"/>
      <c r="L29" s="102"/>
    </row>
    <row r="30" spans="1:12" s="124" customFormat="1" ht="19.5" customHeight="1">
      <c r="A30" s="112" t="s">
        <v>113</v>
      </c>
      <c r="B30" s="129" t="s">
        <v>201</v>
      </c>
      <c r="C30" s="106"/>
      <c r="D30" s="106"/>
      <c r="E30" s="101"/>
      <c r="F30" s="102"/>
      <c r="G30" s="112" t="s">
        <v>113</v>
      </c>
      <c r="H30" s="129" t="s">
        <v>90</v>
      </c>
      <c r="I30" s="137"/>
      <c r="J30" s="106"/>
      <c r="K30" s="601"/>
      <c r="L30" s="102"/>
    </row>
    <row r="31" spans="1:12" s="124" customFormat="1" ht="19.5" customHeight="1">
      <c r="A31" s="112" t="s">
        <v>56</v>
      </c>
      <c r="B31" s="100" t="s">
        <v>126</v>
      </c>
      <c r="C31" s="101">
        <v>99118937</v>
      </c>
      <c r="D31" s="101">
        <v>99118937</v>
      </c>
      <c r="E31" s="101">
        <v>99118937</v>
      </c>
      <c r="F31" s="102">
        <f>+E31/D31</f>
        <v>1</v>
      </c>
      <c r="G31" s="112" t="s">
        <v>56</v>
      </c>
      <c r="H31" s="100" t="s">
        <v>132</v>
      </c>
      <c r="I31" s="135"/>
      <c r="J31" s="101"/>
      <c r="K31" s="601"/>
      <c r="L31" s="102"/>
    </row>
    <row r="32" spans="1:12" s="124" customFormat="1" ht="19.5" customHeight="1">
      <c r="A32" s="99" t="s">
        <v>64</v>
      </c>
      <c r="B32" s="116" t="s">
        <v>127</v>
      </c>
      <c r="C32" s="134">
        <v>21958096</v>
      </c>
      <c r="D32" s="101">
        <v>21958096</v>
      </c>
      <c r="E32" s="101">
        <v>21958096</v>
      </c>
      <c r="F32" s="102">
        <f>+E32/D32</f>
        <v>1</v>
      </c>
      <c r="G32" s="99" t="s">
        <v>64</v>
      </c>
      <c r="H32" s="116" t="s">
        <v>133</v>
      </c>
      <c r="I32" s="138"/>
      <c r="J32" s="101"/>
      <c r="K32" s="601"/>
      <c r="L32" s="102"/>
    </row>
    <row r="33" spans="1:12" s="124" customFormat="1" ht="19.5" customHeight="1" thickBot="1">
      <c r="A33" s="117"/>
      <c r="B33" s="118" t="s">
        <v>148</v>
      </c>
      <c r="C33" s="88">
        <v>184108368</v>
      </c>
      <c r="D33" s="88">
        <f>+D21+D27+D31+D32</f>
        <v>121644081</v>
      </c>
      <c r="E33" s="88">
        <f>+E21+E27+E31+E32</f>
        <v>121077033</v>
      </c>
      <c r="F33" s="119">
        <f>+E33/D33</f>
        <v>0.9953384661601414</v>
      </c>
      <c r="G33" s="117"/>
      <c r="H33" s="118" t="s">
        <v>149</v>
      </c>
      <c r="I33" s="139">
        <v>184108368</v>
      </c>
      <c r="J33" s="88">
        <f>+J21+J27+J31+J32</f>
        <v>121644081</v>
      </c>
      <c r="K33" s="120">
        <f>+K21+K27+K31+K32</f>
        <v>85892640</v>
      </c>
      <c r="L33" s="119">
        <f t="shared" si="2"/>
        <v>0.7060979810435659</v>
      </c>
    </row>
    <row r="34" spans="1:12" s="124" customFormat="1" ht="30.75" customHeight="1">
      <c r="A34" s="123"/>
      <c r="B34" s="123"/>
      <c r="C34" s="130"/>
      <c r="D34" s="130"/>
      <c r="E34" s="125"/>
      <c r="F34" s="125"/>
      <c r="G34" s="123"/>
      <c r="I34" s="130"/>
      <c r="J34" s="130"/>
      <c r="K34" s="125"/>
      <c r="L34" s="125"/>
    </row>
    <row r="35" spans="1:12" s="124" customFormat="1" ht="15" thickBot="1">
      <c r="A35" s="749" t="s">
        <v>223</v>
      </c>
      <c r="B35" s="749"/>
      <c r="C35" s="125"/>
      <c r="D35" s="125"/>
      <c r="E35" s="125"/>
      <c r="F35" s="125"/>
      <c r="I35" s="130"/>
      <c r="J35" s="130"/>
      <c r="K35" s="130"/>
      <c r="L35" s="130" t="s">
        <v>216</v>
      </c>
    </row>
    <row r="36" spans="1:13" s="123" customFormat="1" ht="39.75" customHeight="1">
      <c r="A36" s="96"/>
      <c r="B36" s="97" t="s">
        <v>104</v>
      </c>
      <c r="C36" s="86" t="s">
        <v>227</v>
      </c>
      <c r="D36" s="86" t="s">
        <v>789</v>
      </c>
      <c r="E36" s="86" t="s">
        <v>303</v>
      </c>
      <c r="F36" s="87" t="s">
        <v>304</v>
      </c>
      <c r="G36" s="96"/>
      <c r="H36" s="97" t="s">
        <v>105</v>
      </c>
      <c r="I36" s="86" t="s">
        <v>227</v>
      </c>
      <c r="J36" s="86" t="s">
        <v>789</v>
      </c>
      <c r="K36" s="86" t="s">
        <v>303</v>
      </c>
      <c r="L36" s="87" t="s">
        <v>304</v>
      </c>
      <c r="M36" s="124"/>
    </row>
    <row r="37" spans="1:12" s="124" customFormat="1" ht="19.5" customHeight="1">
      <c r="A37" s="99" t="s">
        <v>23</v>
      </c>
      <c r="B37" s="100" t="s">
        <v>108</v>
      </c>
      <c r="C37" s="101">
        <v>7683434</v>
      </c>
      <c r="D37" s="101">
        <f>+D38+D40+D41+D42</f>
        <v>7683434</v>
      </c>
      <c r="E37" s="101">
        <f>+E38</f>
        <v>7683434</v>
      </c>
      <c r="F37" s="102">
        <f>+E37/D37</f>
        <v>1</v>
      </c>
      <c r="G37" s="99" t="s">
        <v>23</v>
      </c>
      <c r="H37" s="100" t="s">
        <v>129</v>
      </c>
      <c r="I37" s="135">
        <f>I38+I39+I40+I41+I42</f>
        <v>4247035</v>
      </c>
      <c r="J37" s="101">
        <f>J38+J39+J40+J41+J42</f>
        <v>4247035</v>
      </c>
      <c r="K37" s="601">
        <f>K38+K39+K40+K41+K42</f>
        <v>3832935</v>
      </c>
      <c r="L37" s="102">
        <f>+K37/J37</f>
        <v>0.9024966829800084</v>
      </c>
    </row>
    <row r="38" spans="1:12" s="124" customFormat="1" ht="19.5" customHeight="1">
      <c r="A38" s="99" t="s">
        <v>111</v>
      </c>
      <c r="B38" s="127" t="s">
        <v>209</v>
      </c>
      <c r="C38" s="131">
        <v>7683434</v>
      </c>
      <c r="D38" s="106">
        <f>D39</f>
        <v>7683434</v>
      </c>
      <c r="E38" s="106">
        <f>+E39</f>
        <v>7683434</v>
      </c>
      <c r="F38" s="599">
        <f>+E38/D38</f>
        <v>1</v>
      </c>
      <c r="G38" s="99" t="s">
        <v>111</v>
      </c>
      <c r="H38" s="127" t="s">
        <v>80</v>
      </c>
      <c r="I38" s="137"/>
      <c r="J38" s="106"/>
      <c r="K38" s="601"/>
      <c r="L38" s="102"/>
    </row>
    <row r="39" spans="1:12" s="124" customFormat="1" ht="19.5" customHeight="1">
      <c r="A39" s="99"/>
      <c r="B39" s="128" t="s">
        <v>210</v>
      </c>
      <c r="C39" s="132">
        <v>7683434</v>
      </c>
      <c r="D39" s="106">
        <v>7683434</v>
      </c>
      <c r="E39" s="106">
        <v>7683434</v>
      </c>
      <c r="F39" s="599">
        <f>+E39/D39</f>
        <v>1</v>
      </c>
      <c r="G39" s="99" t="s">
        <v>112</v>
      </c>
      <c r="H39" s="128" t="s">
        <v>147</v>
      </c>
      <c r="I39" s="137"/>
      <c r="J39" s="106"/>
      <c r="K39" s="601"/>
      <c r="L39" s="102"/>
    </row>
    <row r="40" spans="1:12" s="124" customFormat="1" ht="19.5" customHeight="1">
      <c r="A40" s="99" t="s">
        <v>112</v>
      </c>
      <c r="B40" s="129" t="s">
        <v>9</v>
      </c>
      <c r="C40" s="106"/>
      <c r="D40" s="106"/>
      <c r="E40" s="101"/>
      <c r="F40" s="102"/>
      <c r="G40" s="99" t="s">
        <v>113</v>
      </c>
      <c r="H40" s="129" t="s">
        <v>83</v>
      </c>
      <c r="I40" s="137">
        <v>4247035</v>
      </c>
      <c r="J40" s="106">
        <v>4247035</v>
      </c>
      <c r="K40" s="602">
        <v>3832935</v>
      </c>
      <c r="L40" s="599">
        <f>+K40/J40</f>
        <v>0.9024966829800084</v>
      </c>
    </row>
    <row r="41" spans="1:12" s="124" customFormat="1" ht="19.5" customHeight="1">
      <c r="A41" s="99" t="s">
        <v>113</v>
      </c>
      <c r="B41" s="100" t="s">
        <v>170</v>
      </c>
      <c r="C41" s="106"/>
      <c r="D41" s="106"/>
      <c r="E41" s="101"/>
      <c r="F41" s="102"/>
      <c r="G41" s="99" t="s">
        <v>114</v>
      </c>
      <c r="H41" s="100" t="s">
        <v>84</v>
      </c>
      <c r="I41" s="137"/>
      <c r="J41" s="106"/>
      <c r="K41" s="601"/>
      <c r="L41" s="102"/>
    </row>
    <row r="42" spans="1:12" s="124" customFormat="1" ht="19.5" customHeight="1">
      <c r="A42" s="99" t="s">
        <v>114</v>
      </c>
      <c r="B42" s="129" t="s">
        <v>181</v>
      </c>
      <c r="C42" s="106"/>
      <c r="D42" s="106"/>
      <c r="E42" s="101"/>
      <c r="F42" s="102"/>
      <c r="G42" s="99" t="s">
        <v>115</v>
      </c>
      <c r="H42" s="129" t="s">
        <v>211</v>
      </c>
      <c r="I42" s="137"/>
      <c r="J42" s="106"/>
      <c r="K42" s="601"/>
      <c r="L42" s="102"/>
    </row>
    <row r="43" spans="1:12" s="124" customFormat="1" ht="19.5" customHeight="1">
      <c r="A43" s="112" t="s">
        <v>45</v>
      </c>
      <c r="B43" s="100" t="s">
        <v>118</v>
      </c>
      <c r="C43" s="101">
        <v>17279601</v>
      </c>
      <c r="D43" s="101">
        <f>+D44+D45+D46</f>
        <v>17279601</v>
      </c>
      <c r="E43" s="101">
        <f>+E44+E45+E46</f>
        <v>17279601</v>
      </c>
      <c r="F43" s="102">
        <f>E43/D43</f>
        <v>1</v>
      </c>
      <c r="G43" s="112" t="s">
        <v>45</v>
      </c>
      <c r="H43" s="100" t="s">
        <v>130</v>
      </c>
      <c r="I43" s="135">
        <f>I44+I45+I46</f>
        <v>92060882</v>
      </c>
      <c r="J43" s="101">
        <f>J44+J45+J46</f>
        <v>92060882</v>
      </c>
      <c r="K43" s="601">
        <f>+K44+K45+K46</f>
        <v>90317153</v>
      </c>
      <c r="L43" s="102">
        <f>+K43/J43</f>
        <v>0.9810589583532341</v>
      </c>
    </row>
    <row r="44" spans="1:12" s="124" customFormat="1" ht="19.5" customHeight="1">
      <c r="A44" s="112" t="s">
        <v>111</v>
      </c>
      <c r="B44" s="129" t="s">
        <v>106</v>
      </c>
      <c r="C44" s="106">
        <v>17279601</v>
      </c>
      <c r="D44" s="106">
        <v>17279601</v>
      </c>
      <c r="E44" s="106">
        <v>17279601</v>
      </c>
      <c r="F44" s="599">
        <f>E44/D44</f>
        <v>1</v>
      </c>
      <c r="G44" s="112" t="s">
        <v>111</v>
      </c>
      <c r="H44" s="129" t="s">
        <v>131</v>
      </c>
      <c r="I44" s="137">
        <v>92060882</v>
      </c>
      <c r="J44" s="106">
        <v>92060882</v>
      </c>
      <c r="K44" s="602">
        <v>90317153</v>
      </c>
      <c r="L44" s="599">
        <f>+K44/J44</f>
        <v>0.9810589583532341</v>
      </c>
    </row>
    <row r="45" spans="1:12" s="124" customFormat="1" ht="19.5" customHeight="1">
      <c r="A45" s="112" t="s">
        <v>112</v>
      </c>
      <c r="B45" s="116" t="s">
        <v>39</v>
      </c>
      <c r="C45" s="133"/>
      <c r="D45" s="106"/>
      <c r="E45" s="101"/>
      <c r="F45" s="102"/>
      <c r="G45" s="112" t="s">
        <v>112</v>
      </c>
      <c r="H45" s="116" t="s">
        <v>87</v>
      </c>
      <c r="I45" s="137"/>
      <c r="J45" s="106"/>
      <c r="K45" s="601"/>
      <c r="L45" s="102"/>
    </row>
    <row r="46" spans="1:12" s="124" customFormat="1" ht="19.5" customHeight="1">
      <c r="A46" s="112" t="s">
        <v>113</v>
      </c>
      <c r="B46" s="129" t="s">
        <v>201</v>
      </c>
      <c r="C46" s="106"/>
      <c r="D46" s="106"/>
      <c r="E46" s="101"/>
      <c r="F46" s="102"/>
      <c r="G46" s="112" t="s">
        <v>113</v>
      </c>
      <c r="H46" s="129" t="s">
        <v>90</v>
      </c>
      <c r="I46" s="137"/>
      <c r="J46" s="106"/>
      <c r="K46" s="601"/>
      <c r="L46" s="102"/>
    </row>
    <row r="47" spans="1:12" s="124" customFormat="1" ht="19.5" customHeight="1">
      <c r="A47" s="112" t="s">
        <v>56</v>
      </c>
      <c r="B47" s="100" t="s">
        <v>126</v>
      </c>
      <c r="C47" s="101"/>
      <c r="D47" s="101"/>
      <c r="E47" s="101"/>
      <c r="F47" s="102"/>
      <c r="G47" s="112" t="s">
        <v>56</v>
      </c>
      <c r="H47" s="100" t="s">
        <v>132</v>
      </c>
      <c r="I47" s="135"/>
      <c r="J47" s="101"/>
      <c r="K47" s="601"/>
      <c r="L47" s="102"/>
    </row>
    <row r="48" spans="1:12" s="124" customFormat="1" ht="19.5" customHeight="1">
      <c r="A48" s="99" t="s">
        <v>64</v>
      </c>
      <c r="B48" s="116" t="s">
        <v>127</v>
      </c>
      <c r="C48" s="134">
        <v>71344882</v>
      </c>
      <c r="D48" s="101">
        <v>71344882</v>
      </c>
      <c r="E48" s="101">
        <v>71344882</v>
      </c>
      <c r="F48" s="102">
        <f>+E48/D48</f>
        <v>1</v>
      </c>
      <c r="G48" s="99" t="s">
        <v>64</v>
      </c>
      <c r="H48" s="116" t="s">
        <v>133</v>
      </c>
      <c r="I48" s="135"/>
      <c r="J48" s="101"/>
      <c r="K48" s="601"/>
      <c r="L48" s="102"/>
    </row>
    <row r="49" spans="1:12" s="124" customFormat="1" ht="19.5" customHeight="1" thickBot="1">
      <c r="A49" s="117"/>
      <c r="B49" s="118" t="s">
        <v>148</v>
      </c>
      <c r="C49" s="88">
        <v>96307917</v>
      </c>
      <c r="D49" s="88">
        <f>+D37+D43+D47+D48</f>
        <v>96307917</v>
      </c>
      <c r="E49" s="88">
        <f>+E48+E46+E47+E37</f>
        <v>79028316</v>
      </c>
      <c r="F49" s="600">
        <f>+E49/D49</f>
        <v>0.8205796414431847</v>
      </c>
      <c r="G49" s="117"/>
      <c r="H49" s="118" t="s">
        <v>149</v>
      </c>
      <c r="I49" s="139">
        <f>I37+I43+I47+I48</f>
        <v>96307917</v>
      </c>
      <c r="J49" s="88">
        <f>J37+J43+J47+J48</f>
        <v>96307917</v>
      </c>
      <c r="K49" s="120">
        <f>+K37+K43+K47+K48</f>
        <v>94150088</v>
      </c>
      <c r="L49" s="119">
        <f>+K49/J49</f>
        <v>0.9775944795898763</v>
      </c>
    </row>
    <row r="50" spans="1:12" s="124" customFormat="1" ht="14.25">
      <c r="A50" s="123"/>
      <c r="B50" s="123"/>
      <c r="C50" s="130"/>
      <c r="D50" s="130"/>
      <c r="E50" s="125"/>
      <c r="F50" s="125"/>
      <c r="G50" s="123"/>
      <c r="I50" s="130"/>
      <c r="J50" s="130"/>
      <c r="K50" s="125"/>
      <c r="L50" s="125"/>
    </row>
    <row r="51" spans="1:12" s="124" customFormat="1" ht="15" thickBot="1">
      <c r="A51" s="749" t="s">
        <v>224</v>
      </c>
      <c r="B51" s="749"/>
      <c r="C51" s="125"/>
      <c r="D51" s="125"/>
      <c r="E51" s="125"/>
      <c r="F51" s="125"/>
      <c r="I51" s="130"/>
      <c r="J51" s="130"/>
      <c r="K51" s="130"/>
      <c r="L51" s="130" t="s">
        <v>216</v>
      </c>
    </row>
    <row r="52" spans="1:13" s="123" customFormat="1" ht="39.75" customHeight="1">
      <c r="A52" s="96"/>
      <c r="B52" s="97" t="s">
        <v>104</v>
      </c>
      <c r="C52" s="86" t="s">
        <v>227</v>
      </c>
      <c r="D52" s="86" t="s">
        <v>789</v>
      </c>
      <c r="E52" s="86" t="s">
        <v>303</v>
      </c>
      <c r="F52" s="87" t="s">
        <v>304</v>
      </c>
      <c r="G52" s="96"/>
      <c r="H52" s="97" t="s">
        <v>105</v>
      </c>
      <c r="I52" s="86" t="s">
        <v>227</v>
      </c>
      <c r="J52" s="86" t="s">
        <v>789</v>
      </c>
      <c r="K52" s="86" t="s">
        <v>303</v>
      </c>
      <c r="L52" s="87" t="s">
        <v>304</v>
      </c>
      <c r="M52" s="124"/>
    </row>
    <row r="53" spans="1:12" s="124" customFormat="1" ht="19.5" customHeight="1">
      <c r="A53" s="99" t="s">
        <v>23</v>
      </c>
      <c r="B53" s="100" t="s">
        <v>108</v>
      </c>
      <c r="C53" s="101">
        <v>30565673</v>
      </c>
      <c r="D53" s="101">
        <f>+D54+D56+D57+D58</f>
        <v>30565673</v>
      </c>
      <c r="E53" s="101">
        <f>+E54</f>
        <v>12371681</v>
      </c>
      <c r="F53" s="102">
        <f>+E53/D53</f>
        <v>0.4047573563978127</v>
      </c>
      <c r="G53" s="99" t="s">
        <v>23</v>
      </c>
      <c r="H53" s="100" t="s">
        <v>129</v>
      </c>
      <c r="I53" s="135">
        <f>I54+I55+I56+I57+I58</f>
        <v>36997774</v>
      </c>
      <c r="J53" s="101">
        <f>J54+J55+J56+J57+J58</f>
        <v>33994827</v>
      </c>
      <c r="K53" s="601">
        <f>K54+K55+K56+K57+K58</f>
        <v>12613715</v>
      </c>
      <c r="L53" s="102">
        <f>+K53/J53</f>
        <v>0.3710480715198227</v>
      </c>
    </row>
    <row r="54" spans="1:12" s="124" customFormat="1" ht="19.5" customHeight="1">
      <c r="A54" s="99" t="s">
        <v>111</v>
      </c>
      <c r="B54" s="127" t="s">
        <v>209</v>
      </c>
      <c r="C54" s="131">
        <v>30565673</v>
      </c>
      <c r="D54" s="106">
        <f>D55</f>
        <v>30565673</v>
      </c>
      <c r="E54" s="106">
        <f>+E55</f>
        <v>12371681</v>
      </c>
      <c r="F54" s="599">
        <f>+E54/D54</f>
        <v>0.4047573563978127</v>
      </c>
      <c r="G54" s="99" t="s">
        <v>111</v>
      </c>
      <c r="H54" s="127" t="s">
        <v>80</v>
      </c>
      <c r="I54" s="137">
        <f>15641044+298557</f>
        <v>15939601</v>
      </c>
      <c r="J54" s="106">
        <f>15641044+298557</f>
        <v>15939601</v>
      </c>
      <c r="K54" s="602">
        <v>10131684</v>
      </c>
      <c r="L54" s="599">
        <f>+K54/J54</f>
        <v>0.6356297124375949</v>
      </c>
    </row>
    <row r="55" spans="1:12" s="124" customFormat="1" ht="19.5" customHeight="1">
      <c r="A55" s="99"/>
      <c r="B55" s="128" t="s">
        <v>210</v>
      </c>
      <c r="C55" s="132">
        <v>30565673</v>
      </c>
      <c r="D55" s="106">
        <f>29673213+892460</f>
        <v>30565673</v>
      </c>
      <c r="E55" s="106">
        <v>12371681</v>
      </c>
      <c r="F55" s="599">
        <f>+E55/D55</f>
        <v>0.4047573563978127</v>
      </c>
      <c r="G55" s="99" t="s">
        <v>112</v>
      </c>
      <c r="H55" s="128" t="s">
        <v>147</v>
      </c>
      <c r="I55" s="137">
        <v>3952410</v>
      </c>
      <c r="J55" s="106">
        <v>3952410</v>
      </c>
      <c r="K55" s="602">
        <v>1782031</v>
      </c>
      <c r="L55" s="599">
        <f>+K55/J55</f>
        <v>0.4508719996154245</v>
      </c>
    </row>
    <row r="56" spans="1:12" s="124" customFormat="1" ht="19.5" customHeight="1">
      <c r="A56" s="99" t="s">
        <v>112</v>
      </c>
      <c r="B56" s="129" t="s">
        <v>9</v>
      </c>
      <c r="C56" s="106"/>
      <c r="D56" s="106"/>
      <c r="E56" s="101"/>
      <c r="F56" s="102"/>
      <c r="G56" s="99" t="s">
        <v>113</v>
      </c>
      <c r="H56" s="129" t="s">
        <v>83</v>
      </c>
      <c r="I56" s="137">
        <v>17105763</v>
      </c>
      <c r="J56" s="106">
        <v>14102816</v>
      </c>
      <c r="K56" s="602">
        <v>700000</v>
      </c>
      <c r="L56" s="599">
        <f>+K56/J56</f>
        <v>0.04963547705649708</v>
      </c>
    </row>
    <row r="57" spans="1:12" s="124" customFormat="1" ht="19.5" customHeight="1">
      <c r="A57" s="99" t="s">
        <v>113</v>
      </c>
      <c r="B57" s="100" t="s">
        <v>170</v>
      </c>
      <c r="C57" s="106"/>
      <c r="D57" s="106"/>
      <c r="E57" s="101"/>
      <c r="F57" s="102"/>
      <c r="G57" s="99" t="s">
        <v>114</v>
      </c>
      <c r="H57" s="100" t="s">
        <v>84</v>
      </c>
      <c r="I57" s="137"/>
      <c r="J57" s="106"/>
      <c r="K57" s="601"/>
      <c r="L57" s="102"/>
    </row>
    <row r="58" spans="1:12" s="124" customFormat="1" ht="19.5" customHeight="1">
      <c r="A58" s="99" t="s">
        <v>114</v>
      </c>
      <c r="B58" s="129" t="s">
        <v>181</v>
      </c>
      <c r="C58" s="106"/>
      <c r="D58" s="106"/>
      <c r="E58" s="101"/>
      <c r="F58" s="102"/>
      <c r="G58" s="99" t="s">
        <v>115</v>
      </c>
      <c r="H58" s="129" t="s">
        <v>211</v>
      </c>
      <c r="I58" s="137"/>
      <c r="J58" s="106"/>
      <c r="K58" s="601"/>
      <c r="L58" s="102"/>
    </row>
    <row r="59" spans="1:12" s="124" customFormat="1" ht="19.5" customHeight="1">
      <c r="A59" s="112" t="s">
        <v>45</v>
      </c>
      <c r="B59" s="100" t="s">
        <v>118</v>
      </c>
      <c r="C59" s="101">
        <v>572053</v>
      </c>
      <c r="D59" s="101">
        <f>+D60+D61+D62</f>
        <v>572053</v>
      </c>
      <c r="E59" s="101">
        <v>0</v>
      </c>
      <c r="F59" s="102">
        <f>+E59/D59</f>
        <v>0</v>
      </c>
      <c r="G59" s="112" t="s">
        <v>45</v>
      </c>
      <c r="H59" s="100" t="s">
        <v>130</v>
      </c>
      <c r="I59" s="135">
        <f>I60+I61+I62</f>
        <v>3747053</v>
      </c>
      <c r="J59" s="101">
        <f>J60+J61+J62</f>
        <v>6750000</v>
      </c>
      <c r="K59" s="601">
        <f>+K60+K61+K62</f>
        <v>6300000</v>
      </c>
      <c r="L59" s="102">
        <f>+K59/J59</f>
        <v>0.9333333333333333</v>
      </c>
    </row>
    <row r="60" spans="1:12" s="124" customFormat="1" ht="19.5" customHeight="1">
      <c r="A60" s="112" t="s">
        <v>111</v>
      </c>
      <c r="B60" s="129" t="s">
        <v>106</v>
      </c>
      <c r="C60" s="106">
        <v>572053</v>
      </c>
      <c r="D60" s="106">
        <v>572053</v>
      </c>
      <c r="E60" s="106">
        <v>0</v>
      </c>
      <c r="F60" s="599">
        <f>+E60/D60+IF(F60=0/0,0%)</f>
        <v>0</v>
      </c>
      <c r="G60" s="112" t="s">
        <v>111</v>
      </c>
      <c r="H60" s="129" t="s">
        <v>131</v>
      </c>
      <c r="I60" s="137">
        <v>3747053</v>
      </c>
      <c r="J60" s="106">
        <v>6750000</v>
      </c>
      <c r="K60" s="602">
        <v>6300000</v>
      </c>
      <c r="L60" s="599">
        <f>+K60/J60</f>
        <v>0.9333333333333333</v>
      </c>
    </row>
    <row r="61" spans="1:12" s="124" customFormat="1" ht="19.5" customHeight="1">
      <c r="A61" s="112" t="s">
        <v>112</v>
      </c>
      <c r="B61" s="116" t="s">
        <v>39</v>
      </c>
      <c r="C61" s="133"/>
      <c r="D61" s="106"/>
      <c r="E61" s="101"/>
      <c r="F61" s="102"/>
      <c r="G61" s="112" t="s">
        <v>112</v>
      </c>
      <c r="H61" s="116" t="s">
        <v>87</v>
      </c>
      <c r="I61" s="137"/>
      <c r="J61" s="106"/>
      <c r="K61" s="601"/>
      <c r="L61" s="102"/>
    </row>
    <row r="62" spans="1:12" s="124" customFormat="1" ht="19.5" customHeight="1">
      <c r="A62" s="112" t="s">
        <v>113</v>
      </c>
      <c r="B62" s="129" t="s">
        <v>201</v>
      </c>
      <c r="C62" s="106"/>
      <c r="D62" s="106"/>
      <c r="E62" s="101"/>
      <c r="F62" s="102"/>
      <c r="G62" s="112" t="s">
        <v>113</v>
      </c>
      <c r="H62" s="129" t="s">
        <v>90</v>
      </c>
      <c r="I62" s="137"/>
      <c r="J62" s="106"/>
      <c r="K62" s="601"/>
      <c r="L62" s="102"/>
    </row>
    <row r="63" spans="1:12" s="124" customFormat="1" ht="19.5" customHeight="1">
      <c r="A63" s="112" t="s">
        <v>56</v>
      </c>
      <c r="B63" s="100" t="s">
        <v>126</v>
      </c>
      <c r="C63" s="101">
        <v>9607101</v>
      </c>
      <c r="D63" s="101">
        <v>9607101</v>
      </c>
      <c r="E63" s="101">
        <v>9607101</v>
      </c>
      <c r="F63" s="102">
        <v>1</v>
      </c>
      <c r="G63" s="112" t="s">
        <v>56</v>
      </c>
      <c r="H63" s="100" t="s">
        <v>132</v>
      </c>
      <c r="I63" s="135"/>
      <c r="J63" s="101"/>
      <c r="K63" s="601"/>
      <c r="L63" s="102"/>
    </row>
    <row r="64" spans="1:12" s="124" customFormat="1" ht="19.5" customHeight="1">
      <c r="A64" s="99" t="s">
        <v>64</v>
      </c>
      <c r="B64" s="116" t="s">
        <v>127</v>
      </c>
      <c r="C64" s="134"/>
      <c r="D64" s="101"/>
      <c r="E64" s="101"/>
      <c r="F64" s="102"/>
      <c r="G64" s="99" t="s">
        <v>64</v>
      </c>
      <c r="H64" s="116" t="s">
        <v>133</v>
      </c>
      <c r="I64" s="135"/>
      <c r="J64" s="101"/>
      <c r="K64" s="601"/>
      <c r="L64" s="102"/>
    </row>
    <row r="65" spans="1:12" s="124" customFormat="1" ht="19.5" customHeight="1" thickBot="1">
      <c r="A65" s="117"/>
      <c r="B65" s="118" t="s">
        <v>148</v>
      </c>
      <c r="C65" s="88">
        <v>40744827</v>
      </c>
      <c r="D65" s="88">
        <f>+D53+D59+D63+D64</f>
        <v>40744827</v>
      </c>
      <c r="E65" s="88">
        <f>+E64+E63+E59+E53</f>
        <v>21978782</v>
      </c>
      <c r="F65" s="119">
        <f>+E65/D65</f>
        <v>0.5394250906992438</v>
      </c>
      <c r="G65" s="117"/>
      <c r="H65" s="118" t="s">
        <v>149</v>
      </c>
      <c r="I65" s="139">
        <f>I53+I59+I63+I64</f>
        <v>40744827</v>
      </c>
      <c r="J65" s="88">
        <f>J53+J59+J63+J64</f>
        <v>40744827</v>
      </c>
      <c r="K65" s="120">
        <f>+K53+K59+K63+K64</f>
        <v>18913715</v>
      </c>
      <c r="L65" s="119">
        <f>+K65/J65</f>
        <v>0.46419917306312286</v>
      </c>
    </row>
    <row r="66" spans="3:12" s="124" customFormat="1" ht="14.25">
      <c r="C66" s="125"/>
      <c r="D66" s="125"/>
      <c r="E66" s="125"/>
      <c r="F66" s="125"/>
      <c r="I66" s="125"/>
      <c r="J66" s="125"/>
      <c r="K66" s="125"/>
      <c r="L66" s="125"/>
    </row>
    <row r="67" spans="1:12" s="124" customFormat="1" ht="15" thickBot="1">
      <c r="A67" s="749" t="s">
        <v>225</v>
      </c>
      <c r="B67" s="749"/>
      <c r="C67" s="125"/>
      <c r="D67" s="125"/>
      <c r="E67" s="125"/>
      <c r="F67" s="125"/>
      <c r="I67" s="130"/>
      <c r="J67" s="130"/>
      <c r="K67" s="130"/>
      <c r="L67" s="130" t="s">
        <v>216</v>
      </c>
    </row>
    <row r="68" spans="1:13" s="123" customFormat="1" ht="39.75" customHeight="1">
      <c r="A68" s="96"/>
      <c r="B68" s="97" t="s">
        <v>104</v>
      </c>
      <c r="C68" s="86" t="s">
        <v>227</v>
      </c>
      <c r="D68" s="86" t="s">
        <v>789</v>
      </c>
      <c r="E68" s="86" t="s">
        <v>303</v>
      </c>
      <c r="F68" s="87" t="s">
        <v>304</v>
      </c>
      <c r="G68" s="96"/>
      <c r="H68" s="96" t="s">
        <v>105</v>
      </c>
      <c r="I68" s="603" t="s">
        <v>227</v>
      </c>
      <c r="J68" s="86" t="s">
        <v>789</v>
      </c>
      <c r="K68" s="86" t="s">
        <v>303</v>
      </c>
      <c r="L68" s="86" t="s">
        <v>304</v>
      </c>
      <c r="M68" s="124"/>
    </row>
    <row r="69" spans="1:12" s="124" customFormat="1" ht="19.5" customHeight="1">
      <c r="A69" s="99" t="s">
        <v>23</v>
      </c>
      <c r="B69" s="100" t="s">
        <v>108</v>
      </c>
      <c r="C69" s="101"/>
      <c r="D69" s="101"/>
      <c r="E69" s="101"/>
      <c r="F69" s="102"/>
      <c r="G69" s="99" t="s">
        <v>23</v>
      </c>
      <c r="H69" s="204" t="s">
        <v>129</v>
      </c>
      <c r="I69" s="100"/>
      <c r="J69" s="101"/>
      <c r="K69" s="101"/>
      <c r="L69" s="101"/>
    </row>
    <row r="70" spans="1:12" s="124" customFormat="1" ht="19.5" customHeight="1">
      <c r="A70" s="99" t="s">
        <v>111</v>
      </c>
      <c r="B70" s="127" t="s">
        <v>209</v>
      </c>
      <c r="C70" s="131"/>
      <c r="D70" s="106"/>
      <c r="E70" s="101"/>
      <c r="F70" s="102"/>
      <c r="G70" s="99" t="s">
        <v>111</v>
      </c>
      <c r="H70" s="204" t="s">
        <v>80</v>
      </c>
      <c r="I70" s="127"/>
      <c r="J70" s="131"/>
      <c r="K70" s="106"/>
      <c r="L70" s="101"/>
    </row>
    <row r="71" spans="1:12" s="124" customFormat="1" ht="19.5" customHeight="1">
      <c r="A71" s="99"/>
      <c r="B71" s="128" t="s">
        <v>210</v>
      </c>
      <c r="C71" s="132"/>
      <c r="D71" s="106"/>
      <c r="E71" s="101"/>
      <c r="F71" s="102"/>
      <c r="G71" s="99" t="s">
        <v>112</v>
      </c>
      <c r="H71" s="204" t="s">
        <v>147</v>
      </c>
      <c r="I71" s="128"/>
      <c r="J71" s="132"/>
      <c r="K71" s="106"/>
      <c r="L71" s="101"/>
    </row>
    <row r="72" spans="1:12" s="124" customFormat="1" ht="19.5" customHeight="1">
      <c r="A72" s="99" t="s">
        <v>112</v>
      </c>
      <c r="B72" s="129" t="s">
        <v>9</v>
      </c>
      <c r="C72" s="106"/>
      <c r="D72" s="106"/>
      <c r="E72" s="101"/>
      <c r="F72" s="102"/>
      <c r="G72" s="99" t="s">
        <v>113</v>
      </c>
      <c r="H72" s="204" t="s">
        <v>83</v>
      </c>
      <c r="I72" s="129"/>
      <c r="J72" s="106"/>
      <c r="K72" s="106"/>
      <c r="L72" s="101"/>
    </row>
    <row r="73" spans="1:12" s="124" customFormat="1" ht="19.5" customHeight="1">
      <c r="A73" s="99" t="s">
        <v>113</v>
      </c>
      <c r="B73" s="100" t="s">
        <v>170</v>
      </c>
      <c r="C73" s="106"/>
      <c r="D73" s="106"/>
      <c r="E73" s="101"/>
      <c r="F73" s="102"/>
      <c r="G73" s="99" t="s">
        <v>114</v>
      </c>
      <c r="H73" s="204" t="s">
        <v>84</v>
      </c>
      <c r="I73" s="100"/>
      <c r="J73" s="106"/>
      <c r="K73" s="106"/>
      <c r="L73" s="101"/>
    </row>
    <row r="74" spans="1:12" s="124" customFormat="1" ht="19.5" customHeight="1">
      <c r="A74" s="99" t="s">
        <v>114</v>
      </c>
      <c r="B74" s="129" t="s">
        <v>181</v>
      </c>
      <c r="C74" s="106"/>
      <c r="D74" s="106"/>
      <c r="E74" s="101"/>
      <c r="F74" s="102"/>
      <c r="G74" s="99" t="s">
        <v>115</v>
      </c>
      <c r="H74" s="204" t="s">
        <v>211</v>
      </c>
      <c r="I74" s="129"/>
      <c r="J74" s="106"/>
      <c r="K74" s="106"/>
      <c r="L74" s="101"/>
    </row>
    <row r="75" spans="1:12" s="124" customFormat="1" ht="19.5" customHeight="1">
      <c r="A75" s="112" t="s">
        <v>45</v>
      </c>
      <c r="B75" s="100" t="s">
        <v>118</v>
      </c>
      <c r="C75" s="101"/>
      <c r="D75" s="101"/>
      <c r="E75" s="101"/>
      <c r="F75" s="102"/>
      <c r="G75" s="112" t="s">
        <v>45</v>
      </c>
      <c r="H75" s="205" t="s">
        <v>130</v>
      </c>
      <c r="I75" s="100"/>
      <c r="J75" s="101"/>
      <c r="K75" s="101"/>
      <c r="L75" s="101"/>
    </row>
    <row r="76" spans="1:12" s="124" customFormat="1" ht="19.5" customHeight="1">
      <c r="A76" s="112" t="s">
        <v>111</v>
      </c>
      <c r="B76" s="129" t="s">
        <v>106</v>
      </c>
      <c r="C76" s="106"/>
      <c r="D76" s="106"/>
      <c r="E76" s="101"/>
      <c r="F76" s="102"/>
      <c r="G76" s="112" t="s">
        <v>111</v>
      </c>
      <c r="H76" s="205" t="s">
        <v>131</v>
      </c>
      <c r="I76" s="129"/>
      <c r="J76" s="106"/>
      <c r="K76" s="106"/>
      <c r="L76" s="101"/>
    </row>
    <row r="77" spans="1:12" s="124" customFormat="1" ht="19.5" customHeight="1">
      <c r="A77" s="112" t="s">
        <v>112</v>
      </c>
      <c r="B77" s="116" t="s">
        <v>39</v>
      </c>
      <c r="C77" s="133"/>
      <c r="D77" s="106"/>
      <c r="E77" s="101"/>
      <c r="F77" s="102"/>
      <c r="G77" s="112" t="s">
        <v>112</v>
      </c>
      <c r="H77" s="205" t="s">
        <v>87</v>
      </c>
      <c r="I77" s="116"/>
      <c r="J77" s="133"/>
      <c r="K77" s="106"/>
      <c r="L77" s="101"/>
    </row>
    <row r="78" spans="1:12" s="124" customFormat="1" ht="19.5" customHeight="1">
      <c r="A78" s="112" t="s">
        <v>113</v>
      </c>
      <c r="B78" s="129" t="s">
        <v>201</v>
      </c>
      <c r="C78" s="106"/>
      <c r="D78" s="106"/>
      <c r="E78" s="101"/>
      <c r="F78" s="102"/>
      <c r="G78" s="112" t="s">
        <v>113</v>
      </c>
      <c r="H78" s="205" t="s">
        <v>90</v>
      </c>
      <c r="I78" s="129"/>
      <c r="J78" s="106"/>
      <c r="K78" s="106"/>
      <c r="L78" s="101"/>
    </row>
    <row r="79" spans="1:12" s="124" customFormat="1" ht="19.5" customHeight="1">
      <c r="A79" s="112" t="s">
        <v>56</v>
      </c>
      <c r="B79" s="100" t="s">
        <v>126</v>
      </c>
      <c r="C79" s="101">
        <v>1142736</v>
      </c>
      <c r="D79" s="101">
        <v>1142736</v>
      </c>
      <c r="E79" s="101">
        <v>1142736</v>
      </c>
      <c r="F79" s="102">
        <f>E95/D95</f>
        <v>1</v>
      </c>
      <c r="G79" s="112" t="s">
        <v>56</v>
      </c>
      <c r="H79" s="205" t="s">
        <v>132</v>
      </c>
      <c r="I79" s="101">
        <v>1142736</v>
      </c>
      <c r="J79" s="101">
        <v>1142736</v>
      </c>
      <c r="K79" s="101">
        <v>0</v>
      </c>
      <c r="L79" s="597">
        <f>+K79/J79+IF(L79=0/0,0%)</f>
        <v>0</v>
      </c>
    </row>
    <row r="80" spans="1:12" s="124" customFormat="1" ht="19.5" customHeight="1">
      <c r="A80" s="99" t="s">
        <v>64</v>
      </c>
      <c r="B80" s="116" t="s">
        <v>127</v>
      </c>
      <c r="C80" s="134"/>
      <c r="D80" s="101"/>
      <c r="E80" s="101"/>
      <c r="F80" s="102"/>
      <c r="G80" s="99" t="s">
        <v>64</v>
      </c>
      <c r="H80" s="204" t="s">
        <v>133</v>
      </c>
      <c r="I80" s="116"/>
      <c r="J80" s="134"/>
      <c r="K80" s="101"/>
      <c r="L80" s="101"/>
    </row>
    <row r="81" spans="1:12" s="124" customFormat="1" ht="19.5" customHeight="1" thickBot="1">
      <c r="A81" s="117"/>
      <c r="B81" s="118" t="s">
        <v>148</v>
      </c>
      <c r="C81" s="88">
        <v>1142736</v>
      </c>
      <c r="D81" s="88">
        <f>+D69+D75+D79+D80</f>
        <v>1142736</v>
      </c>
      <c r="E81" s="88">
        <f>+E80+E79+E75+E69</f>
        <v>1142736</v>
      </c>
      <c r="F81" s="119">
        <f>+E81/D81</f>
        <v>1</v>
      </c>
      <c r="G81" s="117"/>
      <c r="H81" s="206" t="s">
        <v>149</v>
      </c>
      <c r="I81" s="88">
        <v>1142736</v>
      </c>
      <c r="J81" s="88">
        <f>J69+J75+J79+J80</f>
        <v>1142736</v>
      </c>
      <c r="K81" s="88">
        <v>0</v>
      </c>
      <c r="L81" s="598">
        <f>+K81/J81</f>
        <v>0</v>
      </c>
    </row>
    <row r="82" spans="3:12" s="124" customFormat="1" ht="14.25">
      <c r="C82" s="125"/>
      <c r="D82" s="125"/>
      <c r="E82" s="140"/>
      <c r="F82" s="140"/>
      <c r="I82" s="125"/>
      <c r="J82" s="125"/>
      <c r="K82" s="140"/>
      <c r="L82" s="140"/>
    </row>
    <row r="83" spans="1:12" s="124" customFormat="1" ht="15" thickBot="1">
      <c r="A83" s="749" t="s">
        <v>842</v>
      </c>
      <c r="B83" s="749"/>
      <c r="C83" s="125"/>
      <c r="D83" s="125"/>
      <c r="E83" s="125"/>
      <c r="F83" s="125"/>
      <c r="I83" s="130"/>
      <c r="J83" s="130"/>
      <c r="K83" s="130"/>
      <c r="L83" s="130" t="s">
        <v>216</v>
      </c>
    </row>
    <row r="84" spans="1:13" s="123" customFormat="1" ht="39.75" customHeight="1">
      <c r="A84" s="96"/>
      <c r="B84" s="97" t="s">
        <v>104</v>
      </c>
      <c r="C84" s="86" t="s">
        <v>227</v>
      </c>
      <c r="D84" s="86" t="s">
        <v>789</v>
      </c>
      <c r="E84" s="86" t="s">
        <v>303</v>
      </c>
      <c r="F84" s="87" t="s">
        <v>304</v>
      </c>
      <c r="G84" s="96"/>
      <c r="H84" s="97" t="s">
        <v>105</v>
      </c>
      <c r="I84" s="86" t="s">
        <v>227</v>
      </c>
      <c r="J84" s="86" t="s">
        <v>789</v>
      </c>
      <c r="K84" s="86" t="s">
        <v>303</v>
      </c>
      <c r="L84" s="87" t="s">
        <v>304</v>
      </c>
      <c r="M84" s="124"/>
    </row>
    <row r="85" spans="1:12" s="124" customFormat="1" ht="19.5" customHeight="1">
      <c r="A85" s="99" t="s">
        <v>23</v>
      </c>
      <c r="B85" s="100" t="s">
        <v>108</v>
      </c>
      <c r="C85" s="101"/>
      <c r="D85" s="101"/>
      <c r="E85" s="101"/>
      <c r="F85" s="102"/>
      <c r="G85" s="99" t="s">
        <v>23</v>
      </c>
      <c r="H85" s="100" t="s">
        <v>129</v>
      </c>
      <c r="I85" s="101">
        <f>I86+I87+I88+I89+I90</f>
        <v>49208333</v>
      </c>
      <c r="J85" s="101">
        <f>J86+J87+J88+J89+J90</f>
        <v>49208313</v>
      </c>
      <c r="K85" s="101">
        <f>+K86+K87+K88+K89+K90</f>
        <v>0</v>
      </c>
      <c r="L85" s="102">
        <f>+K85/J85</f>
        <v>0</v>
      </c>
    </row>
    <row r="86" spans="1:12" s="124" customFormat="1" ht="19.5" customHeight="1">
      <c r="A86" s="99" t="s">
        <v>111</v>
      </c>
      <c r="B86" s="127" t="s">
        <v>209</v>
      </c>
      <c r="C86" s="131"/>
      <c r="D86" s="106"/>
      <c r="E86" s="101"/>
      <c r="F86" s="102"/>
      <c r="G86" s="99" t="s">
        <v>111</v>
      </c>
      <c r="H86" s="127" t="s">
        <v>80</v>
      </c>
      <c r="I86" s="131"/>
      <c r="J86" s="106"/>
      <c r="K86" s="101"/>
      <c r="L86" s="102"/>
    </row>
    <row r="87" spans="1:12" s="124" customFormat="1" ht="19.5" customHeight="1">
      <c r="A87" s="99"/>
      <c r="B87" s="128" t="s">
        <v>210</v>
      </c>
      <c r="C87" s="132"/>
      <c r="D87" s="106"/>
      <c r="E87" s="101"/>
      <c r="F87" s="102"/>
      <c r="G87" s="99" t="s">
        <v>112</v>
      </c>
      <c r="H87" s="128" t="s">
        <v>147</v>
      </c>
      <c r="I87" s="132"/>
      <c r="J87" s="106"/>
      <c r="K87" s="101"/>
      <c r="L87" s="102"/>
    </row>
    <row r="88" spans="1:12" s="124" customFormat="1" ht="19.5" customHeight="1">
      <c r="A88" s="99" t="s">
        <v>112</v>
      </c>
      <c r="B88" s="129" t="s">
        <v>9</v>
      </c>
      <c r="C88" s="106"/>
      <c r="D88" s="106"/>
      <c r="E88" s="101"/>
      <c r="F88" s="102"/>
      <c r="G88" s="99" t="s">
        <v>113</v>
      </c>
      <c r="H88" s="129" t="s">
        <v>83</v>
      </c>
      <c r="I88" s="106">
        <f>50079533-871200</f>
        <v>49208333</v>
      </c>
      <c r="J88" s="106">
        <f>50079533-871200-20</f>
        <v>49208313</v>
      </c>
      <c r="K88" s="106">
        <v>0</v>
      </c>
      <c r="L88" s="599">
        <f>+K88/J88+IF(L88=0/0,0%)</f>
        <v>0</v>
      </c>
    </row>
    <row r="89" spans="1:12" s="124" customFormat="1" ht="19.5" customHeight="1">
      <c r="A89" s="99" t="s">
        <v>113</v>
      </c>
      <c r="B89" s="100" t="s">
        <v>170</v>
      </c>
      <c r="C89" s="106"/>
      <c r="D89" s="106"/>
      <c r="E89" s="101"/>
      <c r="F89" s="102"/>
      <c r="G89" s="99" t="s">
        <v>114</v>
      </c>
      <c r="H89" s="100" t="s">
        <v>84</v>
      </c>
      <c r="I89" s="106"/>
      <c r="J89" s="106"/>
      <c r="K89" s="101"/>
      <c r="L89" s="102"/>
    </row>
    <row r="90" spans="1:12" s="124" customFormat="1" ht="19.5" customHeight="1">
      <c r="A90" s="99" t="s">
        <v>114</v>
      </c>
      <c r="B90" s="129" t="s">
        <v>181</v>
      </c>
      <c r="C90" s="106"/>
      <c r="D90" s="106"/>
      <c r="E90" s="101"/>
      <c r="F90" s="102"/>
      <c r="G90" s="99" t="s">
        <v>115</v>
      </c>
      <c r="H90" s="129" t="s">
        <v>211</v>
      </c>
      <c r="I90" s="106"/>
      <c r="J90" s="106"/>
      <c r="K90" s="101"/>
      <c r="L90" s="102"/>
    </row>
    <row r="91" spans="1:12" s="124" customFormat="1" ht="19.5" customHeight="1">
      <c r="A91" s="112" t="s">
        <v>45</v>
      </c>
      <c r="B91" s="100" t="s">
        <v>118</v>
      </c>
      <c r="C91" s="101"/>
      <c r="D91" s="101"/>
      <c r="E91" s="101"/>
      <c r="F91" s="102"/>
      <c r="G91" s="112" t="s">
        <v>45</v>
      </c>
      <c r="H91" s="100" t="s">
        <v>130</v>
      </c>
      <c r="I91" s="101">
        <f>I92+I93+I94</f>
        <v>871200</v>
      </c>
      <c r="J91" s="101">
        <f>J92+J93+J94</f>
        <v>871220</v>
      </c>
      <c r="K91" s="101">
        <f>+K92</f>
        <v>871220</v>
      </c>
      <c r="L91" s="102">
        <f>+K91/J91</f>
        <v>1</v>
      </c>
    </row>
    <row r="92" spans="1:12" s="124" customFormat="1" ht="19.5" customHeight="1">
      <c r="A92" s="112" t="s">
        <v>111</v>
      </c>
      <c r="B92" s="129" t="s">
        <v>106</v>
      </c>
      <c r="C92" s="106"/>
      <c r="D92" s="106"/>
      <c r="E92" s="101"/>
      <c r="F92" s="102"/>
      <c r="G92" s="112" t="s">
        <v>111</v>
      </c>
      <c r="H92" s="129" t="s">
        <v>131</v>
      </c>
      <c r="I92" s="106">
        <v>871200</v>
      </c>
      <c r="J92" s="106">
        <v>871220</v>
      </c>
      <c r="K92" s="106">
        <v>871220</v>
      </c>
      <c r="L92" s="599">
        <f>+K92/J92</f>
        <v>1</v>
      </c>
    </row>
    <row r="93" spans="1:12" s="124" customFormat="1" ht="19.5" customHeight="1">
      <c r="A93" s="112" t="s">
        <v>112</v>
      </c>
      <c r="B93" s="116" t="s">
        <v>39</v>
      </c>
      <c r="C93" s="133"/>
      <c r="D93" s="106"/>
      <c r="E93" s="101"/>
      <c r="F93" s="102"/>
      <c r="G93" s="112" t="s">
        <v>112</v>
      </c>
      <c r="H93" s="116" t="s">
        <v>87</v>
      </c>
      <c r="I93" s="133"/>
      <c r="J93" s="106"/>
      <c r="K93" s="101"/>
      <c r="L93" s="102"/>
    </row>
    <row r="94" spans="1:12" s="124" customFormat="1" ht="19.5" customHeight="1">
      <c r="A94" s="112" t="s">
        <v>113</v>
      </c>
      <c r="B94" s="129" t="s">
        <v>201</v>
      </c>
      <c r="C94" s="106"/>
      <c r="D94" s="106"/>
      <c r="E94" s="101"/>
      <c r="F94" s="102"/>
      <c r="G94" s="112" t="s">
        <v>113</v>
      </c>
      <c r="H94" s="129" t="s">
        <v>90</v>
      </c>
      <c r="I94" s="106"/>
      <c r="J94" s="106"/>
      <c r="K94" s="101"/>
      <c r="L94" s="102"/>
    </row>
    <row r="95" spans="1:12" s="124" customFormat="1" ht="19.5" customHeight="1">
      <c r="A95" s="112" t="s">
        <v>56</v>
      </c>
      <c r="B95" s="100" t="s">
        <v>126</v>
      </c>
      <c r="C95" s="101">
        <v>50079533</v>
      </c>
      <c r="D95" s="101">
        <v>50079533</v>
      </c>
      <c r="E95" s="101">
        <v>50079533</v>
      </c>
      <c r="F95" s="102">
        <f>+E95/D95</f>
        <v>1</v>
      </c>
      <c r="G95" s="112" t="s">
        <v>56</v>
      </c>
      <c r="H95" s="100" t="s">
        <v>132</v>
      </c>
      <c r="I95" s="101"/>
      <c r="J95" s="101"/>
      <c r="K95" s="101"/>
      <c r="L95" s="102"/>
    </row>
    <row r="96" spans="1:12" s="124" customFormat="1" ht="19.5" customHeight="1">
      <c r="A96" s="99" t="s">
        <v>64</v>
      </c>
      <c r="B96" s="116" t="s">
        <v>127</v>
      </c>
      <c r="C96" s="134"/>
      <c r="D96" s="101"/>
      <c r="E96" s="101"/>
      <c r="F96" s="102"/>
      <c r="G96" s="99" t="s">
        <v>64</v>
      </c>
      <c r="H96" s="116" t="s">
        <v>133</v>
      </c>
      <c r="I96" s="134"/>
      <c r="J96" s="101"/>
      <c r="K96" s="101"/>
      <c r="L96" s="102"/>
    </row>
    <row r="97" spans="1:12" s="124" customFormat="1" ht="19.5" customHeight="1" thickBot="1">
      <c r="A97" s="117"/>
      <c r="B97" s="118" t="s">
        <v>148</v>
      </c>
      <c r="C97" s="88">
        <v>50079533</v>
      </c>
      <c r="D97" s="88">
        <f>+D85+D91+D95+D96</f>
        <v>50079533</v>
      </c>
      <c r="E97" s="88">
        <v>53064033</v>
      </c>
      <c r="F97" s="119">
        <f>+E97/D97</f>
        <v>1.0595952042923404</v>
      </c>
      <c r="G97" s="117"/>
      <c r="H97" s="118" t="s">
        <v>149</v>
      </c>
      <c r="I97" s="88">
        <f>I85+I91+I95+I96</f>
        <v>50079533</v>
      </c>
      <c r="J97" s="88">
        <f>J85+J91+J95+J96</f>
        <v>50079533</v>
      </c>
      <c r="K97" s="88">
        <f>+K91+K85</f>
        <v>871220</v>
      </c>
      <c r="L97" s="119">
        <f>+K97/J97</f>
        <v>0.017396727721083183</v>
      </c>
    </row>
    <row r="98" spans="3:12" s="124" customFormat="1" ht="14.25">
      <c r="C98" s="125"/>
      <c r="D98" s="125"/>
      <c r="E98" s="130"/>
      <c r="F98" s="130"/>
      <c r="I98" s="125"/>
      <c r="J98" s="125"/>
      <c r="K98" s="130"/>
      <c r="L98" s="130"/>
    </row>
    <row r="99" spans="1:12" s="124" customFormat="1" ht="15.75" thickBot="1">
      <c r="A99" s="746" t="s">
        <v>845</v>
      </c>
      <c r="B99" s="747"/>
      <c r="C99" s="92"/>
      <c r="D99" s="93"/>
      <c r="E99" s="141"/>
      <c r="F99" s="141"/>
      <c r="G99" s="142"/>
      <c r="H99" s="142"/>
      <c r="I99" s="125"/>
      <c r="J99" s="125"/>
      <c r="L99" s="130" t="s">
        <v>216</v>
      </c>
    </row>
    <row r="100" spans="1:12" s="124" customFormat="1" ht="28.5">
      <c r="A100" s="96"/>
      <c r="B100" s="97" t="s">
        <v>104</v>
      </c>
      <c r="C100" s="86" t="s">
        <v>227</v>
      </c>
      <c r="D100" s="86" t="s">
        <v>844</v>
      </c>
      <c r="E100" s="86" t="s">
        <v>303</v>
      </c>
      <c r="F100" s="87" t="s">
        <v>304</v>
      </c>
      <c r="G100" s="96"/>
      <c r="H100" s="97" t="s">
        <v>105</v>
      </c>
      <c r="I100" s="86" t="s">
        <v>227</v>
      </c>
      <c r="J100" s="86" t="s">
        <v>844</v>
      </c>
      <c r="K100" s="86" t="s">
        <v>303</v>
      </c>
      <c r="L100" s="87" t="s">
        <v>304</v>
      </c>
    </row>
    <row r="101" spans="1:12" s="124" customFormat="1" ht="14.25">
      <c r="A101" s="99" t="s">
        <v>23</v>
      </c>
      <c r="B101" s="100" t="s">
        <v>108</v>
      </c>
      <c r="C101" s="101">
        <f>+C102+C104+C105+C106</f>
        <v>34105000</v>
      </c>
      <c r="D101" s="101">
        <f>+D102+D104+D105+D106</f>
        <v>34105000</v>
      </c>
      <c r="E101" s="101">
        <f>+E102+E104+E105+E106</f>
        <v>29215730</v>
      </c>
      <c r="F101" s="102">
        <f>+E101/D101</f>
        <v>0.8566406685236769</v>
      </c>
      <c r="G101" s="99" t="s">
        <v>23</v>
      </c>
      <c r="H101" s="100" t="s">
        <v>129</v>
      </c>
      <c r="I101" s="101">
        <f>I102+I103+I104+I105+I106</f>
        <v>21439250</v>
      </c>
      <c r="J101" s="101">
        <f>J102+J103+J104+J105+J106</f>
        <v>19762850</v>
      </c>
      <c r="K101" s="101">
        <f>+K102+K103+K104+K105+K106</f>
        <v>0</v>
      </c>
      <c r="L101" s="102">
        <f>+K101/J101</f>
        <v>0</v>
      </c>
    </row>
    <row r="102" spans="1:12" s="124" customFormat="1" ht="15">
      <c r="A102" s="99" t="s">
        <v>111</v>
      </c>
      <c r="B102" s="127" t="s">
        <v>209</v>
      </c>
      <c r="C102" s="131"/>
      <c r="D102" s="106"/>
      <c r="E102" s="101"/>
      <c r="F102" s="102"/>
      <c r="G102" s="99" t="s">
        <v>111</v>
      </c>
      <c r="H102" s="127" t="s">
        <v>80</v>
      </c>
      <c r="I102" s="131"/>
      <c r="J102" s="106"/>
      <c r="K102" s="101"/>
      <c r="L102" s="102"/>
    </row>
    <row r="103" spans="1:12" s="124" customFormat="1" ht="15">
      <c r="A103" s="99"/>
      <c r="B103" s="128" t="s">
        <v>210</v>
      </c>
      <c r="C103" s="132"/>
      <c r="D103" s="106"/>
      <c r="E103" s="101"/>
      <c r="F103" s="102"/>
      <c r="G103" s="99" t="s">
        <v>112</v>
      </c>
      <c r="H103" s="128" t="s">
        <v>147</v>
      </c>
      <c r="I103" s="132"/>
      <c r="J103" s="106"/>
      <c r="K103" s="101"/>
      <c r="L103" s="102"/>
    </row>
    <row r="104" spans="1:12" s="124" customFormat="1" ht="15">
      <c r="A104" s="99" t="s">
        <v>112</v>
      </c>
      <c r="B104" s="129" t="s">
        <v>9</v>
      </c>
      <c r="C104" s="106"/>
      <c r="D104" s="106"/>
      <c r="E104" s="101"/>
      <c r="F104" s="102"/>
      <c r="G104" s="99" t="s">
        <v>113</v>
      </c>
      <c r="H104" s="129" t="s">
        <v>83</v>
      </c>
      <c r="I104" s="106">
        <f>21809250-360000-10000</f>
        <v>21439250</v>
      </c>
      <c r="J104" s="106">
        <f>21809250-360000-10000-1676400</f>
        <v>19762850</v>
      </c>
      <c r="K104" s="106">
        <v>0</v>
      </c>
      <c r="L104" s="599">
        <f>+K104/J104</f>
        <v>0</v>
      </c>
    </row>
    <row r="105" spans="1:12" s="124" customFormat="1" ht="15">
      <c r="A105" s="99" t="s">
        <v>113</v>
      </c>
      <c r="B105" s="100" t="s">
        <v>170</v>
      </c>
      <c r="C105" s="106"/>
      <c r="D105" s="106"/>
      <c r="E105" s="101"/>
      <c r="F105" s="102"/>
      <c r="G105" s="99" t="s">
        <v>114</v>
      </c>
      <c r="H105" s="100" t="s">
        <v>84</v>
      </c>
      <c r="I105" s="106"/>
      <c r="J105" s="106"/>
      <c r="K105" s="101"/>
      <c r="L105" s="102"/>
    </row>
    <row r="106" spans="1:12" s="124" customFormat="1" ht="15">
      <c r="A106" s="99" t="s">
        <v>114</v>
      </c>
      <c r="B106" s="129" t="s">
        <v>181</v>
      </c>
      <c r="C106" s="106">
        <v>34105000</v>
      </c>
      <c r="D106" s="106">
        <v>34105000</v>
      </c>
      <c r="E106" s="106">
        <v>29215730</v>
      </c>
      <c r="F106" s="599">
        <f>E106/D106</f>
        <v>0.8566406685236769</v>
      </c>
      <c r="G106" s="99" t="s">
        <v>115</v>
      </c>
      <c r="H106" s="129" t="s">
        <v>211</v>
      </c>
      <c r="I106" s="106"/>
      <c r="J106" s="106"/>
      <c r="K106" s="101"/>
      <c r="L106" s="102"/>
    </row>
    <row r="107" spans="1:12" s="124" customFormat="1" ht="14.25">
      <c r="A107" s="112" t="s">
        <v>45</v>
      </c>
      <c r="B107" s="100" t="s">
        <v>118</v>
      </c>
      <c r="C107" s="101"/>
      <c r="D107" s="101"/>
      <c r="E107" s="101"/>
      <c r="F107" s="102"/>
      <c r="G107" s="112" t="s">
        <v>45</v>
      </c>
      <c r="H107" s="100" t="s">
        <v>130</v>
      </c>
      <c r="I107" s="101">
        <f>I108+I109+I110</f>
        <v>370000</v>
      </c>
      <c r="J107" s="101">
        <f>J108+J109+J110</f>
        <v>2046400</v>
      </c>
      <c r="K107" s="101">
        <f>+K108+K109+K110</f>
        <v>2046400</v>
      </c>
      <c r="L107" s="102">
        <f>K107/J107</f>
        <v>1</v>
      </c>
    </row>
    <row r="108" spans="1:12" s="124" customFormat="1" ht="15">
      <c r="A108" s="112" t="s">
        <v>111</v>
      </c>
      <c r="B108" s="129" t="s">
        <v>106</v>
      </c>
      <c r="C108" s="106"/>
      <c r="D108" s="106"/>
      <c r="E108" s="101"/>
      <c r="F108" s="102"/>
      <c r="G108" s="112" t="s">
        <v>111</v>
      </c>
      <c r="H108" s="129" t="s">
        <v>131</v>
      </c>
      <c r="I108" s="106">
        <f>360000+10000</f>
        <v>370000</v>
      </c>
      <c r="J108" s="106">
        <f>360000+10000+1676400</f>
        <v>2046400</v>
      </c>
      <c r="K108" s="106">
        <v>2046400</v>
      </c>
      <c r="L108" s="599">
        <f>K108/J108</f>
        <v>1</v>
      </c>
    </row>
    <row r="109" spans="1:12" s="124" customFormat="1" ht="15">
      <c r="A109" s="112" t="s">
        <v>112</v>
      </c>
      <c r="B109" s="116" t="s">
        <v>39</v>
      </c>
      <c r="C109" s="133"/>
      <c r="D109" s="106"/>
      <c r="E109" s="101"/>
      <c r="F109" s="102"/>
      <c r="G109" s="112" t="s">
        <v>112</v>
      </c>
      <c r="H109" s="116" t="s">
        <v>87</v>
      </c>
      <c r="I109" s="133"/>
      <c r="J109" s="106"/>
      <c r="K109" s="101"/>
      <c r="L109" s="102"/>
    </row>
    <row r="110" spans="1:12" s="124" customFormat="1" ht="15">
      <c r="A110" s="112" t="s">
        <v>113</v>
      </c>
      <c r="B110" s="129" t="s">
        <v>201</v>
      </c>
      <c r="C110" s="106"/>
      <c r="D110" s="106"/>
      <c r="E110" s="101"/>
      <c r="F110" s="102"/>
      <c r="G110" s="112" t="s">
        <v>113</v>
      </c>
      <c r="H110" s="129" t="s">
        <v>90</v>
      </c>
      <c r="I110" s="106"/>
      <c r="J110" s="106"/>
      <c r="K110" s="101"/>
      <c r="L110" s="102"/>
    </row>
    <row r="111" spans="1:12" s="124" customFormat="1" ht="14.25">
      <c r="A111" s="112" t="s">
        <v>56</v>
      </c>
      <c r="B111" s="100" t="s">
        <v>126</v>
      </c>
      <c r="C111" s="101"/>
      <c r="D111" s="101"/>
      <c r="E111" s="101"/>
      <c r="F111" s="102"/>
      <c r="G111" s="112" t="s">
        <v>56</v>
      </c>
      <c r="H111" s="100" t="s">
        <v>132</v>
      </c>
      <c r="I111" s="101">
        <v>12295750</v>
      </c>
      <c r="J111" s="101">
        <v>12295750</v>
      </c>
      <c r="K111" s="101">
        <v>0</v>
      </c>
      <c r="L111" s="102">
        <f>+K111/J111+IF(L111=0/0,0%)</f>
        <v>0</v>
      </c>
    </row>
    <row r="112" spans="1:12" s="124" customFormat="1" ht="14.25">
      <c r="A112" s="99" t="s">
        <v>64</v>
      </c>
      <c r="B112" s="116" t="s">
        <v>127</v>
      </c>
      <c r="C112" s="134"/>
      <c r="D112" s="101"/>
      <c r="E112" s="101"/>
      <c r="F112" s="102"/>
      <c r="G112" s="99" t="s">
        <v>64</v>
      </c>
      <c r="H112" s="116" t="s">
        <v>133</v>
      </c>
      <c r="I112" s="134"/>
      <c r="J112" s="101"/>
      <c r="K112" s="101"/>
      <c r="L112" s="102"/>
    </row>
    <row r="113" spans="1:12" s="124" customFormat="1" ht="15" thickBot="1">
      <c r="A113" s="117"/>
      <c r="B113" s="118" t="s">
        <v>148</v>
      </c>
      <c r="C113" s="88">
        <f>+C101+C107+C111+C112</f>
        <v>34105000</v>
      </c>
      <c r="D113" s="88">
        <f>+D101+D107+D111+D112</f>
        <v>34105000</v>
      </c>
      <c r="E113" s="88">
        <f>+E101</f>
        <v>29215730</v>
      </c>
      <c r="F113" s="119">
        <f>+E113/D113</f>
        <v>0.8566406685236769</v>
      </c>
      <c r="G113" s="117"/>
      <c r="H113" s="118" t="s">
        <v>149</v>
      </c>
      <c r="I113" s="88">
        <f>I101+I107+I111+I112</f>
        <v>34105000</v>
      </c>
      <c r="J113" s="88">
        <f>J101+J107+J111+J112</f>
        <v>34105000</v>
      </c>
      <c r="K113" s="88">
        <f>+K101+K107+K111+K112</f>
        <v>2046400</v>
      </c>
      <c r="L113" s="119">
        <f>+K113/J113</f>
        <v>0.060002932121389824</v>
      </c>
    </row>
    <row r="114" spans="3:10" s="124" customFormat="1" ht="14.25">
      <c r="C114" s="125"/>
      <c r="D114" s="125"/>
      <c r="E114" s="143"/>
      <c r="F114" s="143"/>
      <c r="G114" s="142"/>
      <c r="H114" s="142"/>
      <c r="I114" s="125"/>
      <c r="J114" s="125"/>
    </row>
    <row r="115" spans="1:12" s="124" customFormat="1" ht="15.75" thickBot="1">
      <c r="A115" s="746" t="s">
        <v>846</v>
      </c>
      <c r="B115" s="747"/>
      <c r="C115" s="92"/>
      <c r="D115" s="93"/>
      <c r="E115" s="90"/>
      <c r="F115" s="90"/>
      <c r="G115" s="93"/>
      <c r="H115" s="95"/>
      <c r="I115" s="125"/>
      <c r="J115" s="125"/>
      <c r="L115" s="124" t="s">
        <v>216</v>
      </c>
    </row>
    <row r="116" spans="1:12" s="124" customFormat="1" ht="28.5">
      <c r="A116" s="96"/>
      <c r="B116" s="97" t="s">
        <v>104</v>
      </c>
      <c r="C116" s="86" t="s">
        <v>227</v>
      </c>
      <c r="D116" s="86" t="s">
        <v>844</v>
      </c>
      <c r="E116" s="86" t="s">
        <v>303</v>
      </c>
      <c r="F116" s="87" t="s">
        <v>304</v>
      </c>
      <c r="G116" s="96"/>
      <c r="H116" s="97" t="s">
        <v>105</v>
      </c>
      <c r="I116" s="86" t="s">
        <v>227</v>
      </c>
      <c r="J116" s="86" t="s">
        <v>844</v>
      </c>
      <c r="K116" s="86" t="s">
        <v>303</v>
      </c>
      <c r="L116" s="87" t="s">
        <v>304</v>
      </c>
    </row>
    <row r="117" spans="1:12" s="124" customFormat="1" ht="14.25">
      <c r="A117" s="99" t="s">
        <v>23</v>
      </c>
      <c r="B117" s="100" t="s">
        <v>108</v>
      </c>
      <c r="C117" s="101">
        <f>+C118+C120+C121+C122</f>
        <v>10287145</v>
      </c>
      <c r="D117" s="101">
        <f>+D118+D120+D121+D122</f>
        <v>10287145</v>
      </c>
      <c r="E117" s="101">
        <f>+E118+E120+E121+E122</f>
        <v>1028743</v>
      </c>
      <c r="F117" s="102">
        <f>+E117/D117</f>
        <v>0.10000277044797172</v>
      </c>
      <c r="G117" s="99" t="s">
        <v>23</v>
      </c>
      <c r="H117" s="100" t="s">
        <v>129</v>
      </c>
      <c r="I117" s="101">
        <f>I118+I119+I120+I121+I122</f>
        <v>6182545</v>
      </c>
      <c r="J117" s="101">
        <f>J118+J119+J120+J121+J122</f>
        <v>6182545</v>
      </c>
      <c r="K117" s="101">
        <f>+K118+K119+K120+K121+K122</f>
        <v>0</v>
      </c>
      <c r="L117" s="102">
        <f>+K117/J117</f>
        <v>0</v>
      </c>
    </row>
    <row r="118" spans="1:12" s="124" customFormat="1" ht="15">
      <c r="A118" s="99" t="s">
        <v>111</v>
      </c>
      <c r="B118" s="127" t="s">
        <v>209</v>
      </c>
      <c r="C118" s="131"/>
      <c r="D118" s="106"/>
      <c r="E118" s="101"/>
      <c r="F118" s="102"/>
      <c r="G118" s="99" t="s">
        <v>111</v>
      </c>
      <c r="H118" s="127" t="s">
        <v>80</v>
      </c>
      <c r="I118" s="131"/>
      <c r="J118" s="106"/>
      <c r="K118" s="101"/>
      <c r="L118" s="102"/>
    </row>
    <row r="119" spans="1:12" s="124" customFormat="1" ht="15">
      <c r="A119" s="99"/>
      <c r="B119" s="128" t="s">
        <v>210</v>
      </c>
      <c r="C119" s="132"/>
      <c r="D119" s="106"/>
      <c r="E119" s="101"/>
      <c r="F119" s="102"/>
      <c r="G119" s="99" t="s">
        <v>112</v>
      </c>
      <c r="H119" s="128" t="s">
        <v>147</v>
      </c>
      <c r="I119" s="132"/>
      <c r="J119" s="106"/>
      <c r="K119" s="101"/>
      <c r="L119" s="102"/>
    </row>
    <row r="120" spans="1:12" s="124" customFormat="1" ht="15">
      <c r="A120" s="99" t="s">
        <v>112</v>
      </c>
      <c r="B120" s="129" t="s">
        <v>9</v>
      </c>
      <c r="C120" s="106"/>
      <c r="D120" s="106"/>
      <c r="E120" s="101"/>
      <c r="F120" s="102"/>
      <c r="G120" s="99" t="s">
        <v>113</v>
      </c>
      <c r="H120" s="129" t="s">
        <v>83</v>
      </c>
      <c r="I120" s="106">
        <f>6553545-360000-11000</f>
        <v>6182545</v>
      </c>
      <c r="J120" s="106">
        <f>6553545-360000-11000</f>
        <v>6182545</v>
      </c>
      <c r="K120" s="106">
        <v>0</v>
      </c>
      <c r="L120" s="599">
        <f>+K120/J120</f>
        <v>0</v>
      </c>
    </row>
    <row r="121" spans="1:12" s="124" customFormat="1" ht="15">
      <c r="A121" s="99" t="s">
        <v>113</v>
      </c>
      <c r="B121" s="100" t="s">
        <v>170</v>
      </c>
      <c r="C121" s="106"/>
      <c r="D121" s="106"/>
      <c r="E121" s="101"/>
      <c r="F121" s="102"/>
      <c r="G121" s="99" t="s">
        <v>114</v>
      </c>
      <c r="H121" s="100" t="s">
        <v>84</v>
      </c>
      <c r="I121" s="106"/>
      <c r="J121" s="106"/>
      <c r="K121" s="101"/>
      <c r="L121" s="102"/>
    </row>
    <row r="122" spans="1:12" s="124" customFormat="1" ht="15">
      <c r="A122" s="99" t="s">
        <v>114</v>
      </c>
      <c r="B122" s="129" t="s">
        <v>181</v>
      </c>
      <c r="C122" s="106">
        <v>10287145</v>
      </c>
      <c r="D122" s="106">
        <v>10287145</v>
      </c>
      <c r="E122" s="106">
        <v>1028743</v>
      </c>
      <c r="F122" s="599">
        <f>E122/D122</f>
        <v>0.10000277044797172</v>
      </c>
      <c r="G122" s="99" t="s">
        <v>115</v>
      </c>
      <c r="H122" s="129" t="s">
        <v>211</v>
      </c>
      <c r="I122" s="106"/>
      <c r="J122" s="106"/>
      <c r="K122" s="101"/>
      <c r="L122" s="102"/>
    </row>
    <row r="123" spans="1:12" s="124" customFormat="1" ht="14.25">
      <c r="A123" s="112" t="s">
        <v>45</v>
      </c>
      <c r="B123" s="100" t="s">
        <v>118</v>
      </c>
      <c r="C123" s="101"/>
      <c r="D123" s="101"/>
      <c r="E123" s="101"/>
      <c r="F123" s="102"/>
      <c r="G123" s="112" t="s">
        <v>45</v>
      </c>
      <c r="H123" s="100" t="s">
        <v>130</v>
      </c>
      <c r="I123" s="101">
        <f>I124+I125+I126</f>
        <v>371000</v>
      </c>
      <c r="J123" s="101">
        <f>J124+J125+J126</f>
        <v>371000</v>
      </c>
      <c r="K123" s="101">
        <f>+K124+K125+K126</f>
        <v>371000</v>
      </c>
      <c r="L123" s="102">
        <f>K123/J123</f>
        <v>1</v>
      </c>
    </row>
    <row r="124" spans="1:12" s="124" customFormat="1" ht="15">
      <c r="A124" s="112" t="s">
        <v>111</v>
      </c>
      <c r="B124" s="129" t="s">
        <v>106</v>
      </c>
      <c r="C124" s="106"/>
      <c r="D124" s="106"/>
      <c r="E124" s="101"/>
      <c r="F124" s="102"/>
      <c r="G124" s="112" t="s">
        <v>111</v>
      </c>
      <c r="H124" s="129" t="s">
        <v>131</v>
      </c>
      <c r="I124" s="106">
        <f>360000+11000</f>
        <v>371000</v>
      </c>
      <c r="J124" s="106">
        <f>360000+11000</f>
        <v>371000</v>
      </c>
      <c r="K124" s="106">
        <v>371000</v>
      </c>
      <c r="L124" s="599">
        <f>K124/J124</f>
        <v>1</v>
      </c>
    </row>
    <row r="125" spans="1:12" s="124" customFormat="1" ht="15">
      <c r="A125" s="112" t="s">
        <v>112</v>
      </c>
      <c r="B125" s="116" t="s">
        <v>39</v>
      </c>
      <c r="C125" s="133"/>
      <c r="D125" s="106"/>
      <c r="E125" s="101"/>
      <c r="F125" s="102"/>
      <c r="G125" s="112" t="s">
        <v>112</v>
      </c>
      <c r="H125" s="116" t="s">
        <v>87</v>
      </c>
      <c r="I125" s="133"/>
      <c r="J125" s="106"/>
      <c r="K125" s="101"/>
      <c r="L125" s="102"/>
    </row>
    <row r="126" spans="1:12" s="124" customFormat="1" ht="15">
      <c r="A126" s="112" t="s">
        <v>113</v>
      </c>
      <c r="B126" s="129" t="s">
        <v>201</v>
      </c>
      <c r="C126" s="106"/>
      <c r="D126" s="106"/>
      <c r="E126" s="101"/>
      <c r="F126" s="102"/>
      <c r="G126" s="112" t="s">
        <v>113</v>
      </c>
      <c r="H126" s="129" t="s">
        <v>90</v>
      </c>
      <c r="I126" s="106"/>
      <c r="J126" s="106"/>
      <c r="K126" s="101"/>
      <c r="L126" s="102"/>
    </row>
    <row r="127" spans="1:12" s="124" customFormat="1" ht="14.25">
      <c r="A127" s="112" t="s">
        <v>56</v>
      </c>
      <c r="B127" s="100" t="s">
        <v>126</v>
      </c>
      <c r="C127" s="101"/>
      <c r="D127" s="101"/>
      <c r="E127" s="101"/>
      <c r="F127" s="102"/>
      <c r="G127" s="112" t="s">
        <v>56</v>
      </c>
      <c r="H127" s="100" t="s">
        <v>132</v>
      </c>
      <c r="I127" s="101">
        <v>3733600</v>
      </c>
      <c r="J127" s="101">
        <v>3733600</v>
      </c>
      <c r="K127" s="101">
        <v>0</v>
      </c>
      <c r="L127" s="102">
        <f>+K127/J127+IF(L127=0/0,0%)</f>
        <v>0</v>
      </c>
    </row>
    <row r="128" spans="1:12" s="124" customFormat="1" ht="14.25">
      <c r="A128" s="99" t="s">
        <v>64</v>
      </c>
      <c r="B128" s="116" t="s">
        <v>127</v>
      </c>
      <c r="C128" s="134"/>
      <c r="D128" s="101"/>
      <c r="E128" s="101"/>
      <c r="F128" s="102"/>
      <c r="G128" s="99" t="s">
        <v>64</v>
      </c>
      <c r="H128" s="116" t="s">
        <v>133</v>
      </c>
      <c r="I128" s="134"/>
      <c r="J128" s="101"/>
      <c r="K128" s="101"/>
      <c r="L128" s="102"/>
    </row>
    <row r="129" spans="1:12" s="124" customFormat="1" ht="15" thickBot="1">
      <c r="A129" s="117"/>
      <c r="B129" s="118" t="s">
        <v>148</v>
      </c>
      <c r="C129" s="88">
        <f>+C117+C123+C127+C128</f>
        <v>10287145</v>
      </c>
      <c r="D129" s="88">
        <f>+D117+D123+D127+D128</f>
        <v>10287145</v>
      </c>
      <c r="E129" s="88">
        <f>+E117</f>
        <v>1028743</v>
      </c>
      <c r="F129" s="119">
        <f>+E129/D129</f>
        <v>0.10000277044797172</v>
      </c>
      <c r="G129" s="117"/>
      <c r="H129" s="118" t="s">
        <v>149</v>
      </c>
      <c r="I129" s="88">
        <f>I117+I123+I127+I128</f>
        <v>10287145</v>
      </c>
      <c r="J129" s="88">
        <f>J117+J123+J127+J128</f>
        <v>10287145</v>
      </c>
      <c r="K129" s="88">
        <f>+K117+K123+K127+K128</f>
        <v>371000</v>
      </c>
      <c r="L129" s="119">
        <f>+K129/J129</f>
        <v>0.03606442798269102</v>
      </c>
    </row>
    <row r="130" spans="3:10" s="124" customFormat="1" ht="14.25">
      <c r="C130" s="125"/>
      <c r="D130" s="125"/>
      <c r="E130" s="144"/>
      <c r="F130" s="144"/>
      <c r="G130" s="142"/>
      <c r="H130" s="142"/>
      <c r="I130" s="125"/>
      <c r="J130" s="125"/>
    </row>
    <row r="131" spans="5:8" ht="14.25">
      <c r="E131" s="76"/>
      <c r="F131" s="76"/>
      <c r="G131" s="79"/>
      <c r="H131" s="79"/>
    </row>
    <row r="132" spans="5:8" ht="14.25">
      <c r="E132" s="75"/>
      <c r="F132" s="75"/>
      <c r="G132" s="79"/>
      <c r="H132" s="79"/>
    </row>
    <row r="133" spans="5:8" ht="14.25">
      <c r="E133" s="76"/>
      <c r="F133" s="77"/>
      <c r="G133" s="79"/>
      <c r="H133" s="79"/>
    </row>
    <row r="134" spans="5:8" ht="14.25">
      <c r="E134" s="76"/>
      <c r="F134" s="77"/>
      <c r="G134" s="79"/>
      <c r="H134" s="79"/>
    </row>
    <row r="135" spans="5:8" ht="14.25">
      <c r="E135" s="76"/>
      <c r="F135" s="77"/>
      <c r="G135" s="79"/>
      <c r="H135" s="79"/>
    </row>
    <row r="136" spans="5:8" ht="14.25">
      <c r="E136" s="76"/>
      <c r="F136" s="77"/>
      <c r="G136" s="79"/>
      <c r="H136" s="79"/>
    </row>
    <row r="137" spans="5:8" ht="14.25">
      <c r="E137" s="76"/>
      <c r="F137" s="77"/>
      <c r="G137" s="79"/>
      <c r="H137" s="79"/>
    </row>
    <row r="138" spans="5:8" ht="14.25">
      <c r="E138" s="76"/>
      <c r="F138" s="77"/>
      <c r="G138" s="79"/>
      <c r="H138" s="79"/>
    </row>
    <row r="139" spans="5:8" ht="14.25">
      <c r="E139" s="76"/>
      <c r="F139" s="77"/>
      <c r="G139" s="79"/>
      <c r="H139" s="79"/>
    </row>
    <row r="140" spans="5:8" ht="14.25">
      <c r="E140" s="76"/>
      <c r="F140" s="77"/>
      <c r="G140" s="79"/>
      <c r="H140" s="79"/>
    </row>
    <row r="141" spans="5:8" ht="14.25">
      <c r="E141" s="76"/>
      <c r="F141" s="77"/>
      <c r="G141" s="79"/>
      <c r="H141" s="79"/>
    </row>
    <row r="142" spans="5:8" ht="14.25">
      <c r="E142" s="76"/>
      <c r="F142" s="77"/>
      <c r="G142" s="79"/>
      <c r="H142" s="79"/>
    </row>
    <row r="143" spans="5:8" ht="14.25">
      <c r="E143" s="76"/>
      <c r="F143" s="77"/>
      <c r="G143" s="79"/>
      <c r="H143" s="79"/>
    </row>
    <row r="144" spans="5:8" ht="14.25">
      <c r="E144" s="76"/>
      <c r="F144" s="77"/>
      <c r="G144" s="79"/>
      <c r="H144" s="79"/>
    </row>
    <row r="145" spans="5:8" ht="14.25">
      <c r="E145" s="76"/>
      <c r="F145" s="77"/>
      <c r="G145" s="79"/>
      <c r="H145" s="79"/>
    </row>
    <row r="146" spans="5:8" ht="14.25">
      <c r="E146" s="76"/>
      <c r="F146" s="76"/>
      <c r="G146" s="79"/>
      <c r="H146" s="79"/>
    </row>
    <row r="147" spans="5:8" ht="14.25">
      <c r="E147" s="76"/>
      <c r="F147" s="76"/>
      <c r="G147" s="79"/>
      <c r="H147" s="79"/>
    </row>
    <row r="148" spans="5:8" ht="14.25">
      <c r="E148" s="75"/>
      <c r="F148" s="75"/>
      <c r="G148" s="79"/>
      <c r="H148" s="79"/>
    </row>
    <row r="149" spans="5:8" ht="14.25">
      <c r="E149" s="76"/>
      <c r="F149" s="77"/>
      <c r="G149" s="79"/>
      <c r="H149" s="79"/>
    </row>
    <row r="150" spans="5:8" ht="14.25">
      <c r="E150" s="76"/>
      <c r="F150" s="77"/>
      <c r="G150" s="79"/>
      <c r="H150" s="79"/>
    </row>
    <row r="151" spans="5:8" ht="14.25">
      <c r="E151" s="76"/>
      <c r="F151" s="77"/>
      <c r="G151" s="79"/>
      <c r="H151" s="79"/>
    </row>
    <row r="152" spans="5:8" ht="14.25">
      <c r="E152" s="76"/>
      <c r="F152" s="77"/>
      <c r="G152" s="79"/>
      <c r="H152" s="79"/>
    </row>
    <row r="153" spans="5:8" ht="14.25">
      <c r="E153" s="76"/>
      <c r="F153" s="77"/>
      <c r="G153" s="79"/>
      <c r="H153" s="79"/>
    </row>
    <row r="154" spans="5:8" ht="14.25">
      <c r="E154" s="76"/>
      <c r="F154" s="77"/>
      <c r="G154" s="79"/>
      <c r="H154" s="79"/>
    </row>
    <row r="155" spans="5:8" ht="14.25">
      <c r="E155" s="76"/>
      <c r="F155" s="77"/>
      <c r="G155" s="79"/>
      <c r="H155" s="79"/>
    </row>
    <row r="156" spans="5:8" ht="14.25">
      <c r="E156" s="76"/>
      <c r="F156" s="77"/>
      <c r="G156" s="79"/>
      <c r="H156" s="79"/>
    </row>
    <row r="157" spans="5:8" ht="14.25">
      <c r="E157" s="76"/>
      <c r="F157" s="77"/>
      <c r="G157" s="79"/>
      <c r="H157" s="79"/>
    </row>
    <row r="158" spans="5:8" ht="14.25">
      <c r="E158" s="76"/>
      <c r="F158" s="77"/>
      <c r="G158" s="79"/>
      <c r="H158" s="79"/>
    </row>
    <row r="159" spans="5:8" ht="14.25">
      <c r="E159" s="76"/>
      <c r="F159" s="77"/>
      <c r="G159" s="79"/>
      <c r="H159" s="79"/>
    </row>
    <row r="160" spans="5:8" ht="14.25">
      <c r="E160" s="76"/>
      <c r="F160" s="77"/>
      <c r="G160" s="79"/>
      <c r="H160" s="79"/>
    </row>
    <row r="161" spans="5:8" ht="14.25">
      <c r="E161" s="76"/>
      <c r="F161" s="77"/>
      <c r="G161" s="79"/>
      <c r="H161" s="79"/>
    </row>
    <row r="162" spans="5:8" ht="14.25">
      <c r="E162" s="76"/>
      <c r="F162" s="76"/>
      <c r="G162" s="79"/>
      <c r="H162" s="79"/>
    </row>
    <row r="163" spans="5:8" ht="14.25">
      <c r="E163" s="76"/>
      <c r="F163" s="76"/>
      <c r="G163" s="79"/>
      <c r="H163" s="79"/>
    </row>
    <row r="164" spans="5:8" ht="14.25">
      <c r="E164" s="75"/>
      <c r="F164" s="75"/>
      <c r="G164" s="79"/>
      <c r="H164" s="79"/>
    </row>
    <row r="165" spans="5:8" ht="14.25">
      <c r="E165" s="76"/>
      <c r="F165" s="77"/>
      <c r="G165" s="79"/>
      <c r="H165" s="79"/>
    </row>
    <row r="166" spans="5:8" ht="14.25">
      <c r="E166" s="76"/>
      <c r="F166" s="77"/>
      <c r="G166" s="79"/>
      <c r="H166" s="79"/>
    </row>
    <row r="167" spans="5:8" ht="14.25">
      <c r="E167" s="76"/>
      <c r="F167" s="77"/>
      <c r="G167" s="79"/>
      <c r="H167" s="79"/>
    </row>
    <row r="168" spans="5:8" ht="14.25">
      <c r="E168" s="76"/>
      <c r="F168" s="77"/>
      <c r="G168" s="79"/>
      <c r="H168" s="79"/>
    </row>
    <row r="169" spans="5:8" ht="14.25">
      <c r="E169" s="76"/>
      <c r="F169" s="77"/>
      <c r="G169" s="79"/>
      <c r="H169" s="79"/>
    </row>
    <row r="170" spans="5:8" ht="14.25">
      <c r="E170" s="76"/>
      <c r="F170" s="77"/>
      <c r="G170" s="79"/>
      <c r="H170" s="79"/>
    </row>
    <row r="171" spans="5:8" ht="14.25">
      <c r="E171" s="76"/>
      <c r="F171" s="77"/>
      <c r="G171" s="79"/>
      <c r="H171" s="79"/>
    </row>
    <row r="172" spans="5:8" ht="14.25">
      <c r="E172" s="76"/>
      <c r="F172" s="77"/>
      <c r="G172" s="79"/>
      <c r="H172" s="79"/>
    </row>
    <row r="173" spans="5:8" ht="14.25">
      <c r="E173" s="76"/>
      <c r="F173" s="77"/>
      <c r="G173" s="79"/>
      <c r="H173" s="79"/>
    </row>
    <row r="174" spans="5:8" ht="14.25">
      <c r="E174" s="76"/>
      <c r="F174" s="77"/>
      <c r="G174" s="79"/>
      <c r="H174" s="79"/>
    </row>
    <row r="175" spans="5:8" ht="14.25">
      <c r="E175" s="76"/>
      <c r="F175" s="77"/>
      <c r="G175" s="79"/>
      <c r="H175" s="79"/>
    </row>
    <row r="176" spans="5:8" ht="14.25">
      <c r="E176" s="76"/>
      <c r="F176" s="77"/>
      <c r="G176" s="79"/>
      <c r="H176" s="79"/>
    </row>
    <row r="177" spans="5:8" ht="14.25">
      <c r="E177" s="76"/>
      <c r="F177" s="77"/>
      <c r="G177" s="79"/>
      <c r="H177" s="79"/>
    </row>
    <row r="178" spans="5:8" ht="14.25">
      <c r="E178" s="76"/>
      <c r="F178" s="76"/>
      <c r="G178" s="79"/>
      <c r="H178" s="79"/>
    </row>
    <row r="179" spans="5:8" ht="14.25">
      <c r="E179" s="76"/>
      <c r="F179" s="76"/>
      <c r="G179" s="79"/>
      <c r="H179" s="79"/>
    </row>
    <row r="180" spans="5:8" ht="14.25">
      <c r="E180" s="75"/>
      <c r="F180" s="75"/>
      <c r="G180" s="79"/>
      <c r="H180" s="79"/>
    </row>
    <row r="181" spans="5:8" ht="14.25">
      <c r="E181" s="76"/>
      <c r="F181" s="77"/>
      <c r="G181" s="79"/>
      <c r="H181" s="79"/>
    </row>
    <row r="182" spans="5:8" ht="14.25">
      <c r="E182" s="76"/>
      <c r="F182" s="77"/>
      <c r="G182" s="79"/>
      <c r="H182" s="79"/>
    </row>
    <row r="183" spans="5:8" ht="14.25">
      <c r="E183" s="76"/>
      <c r="F183" s="77"/>
      <c r="G183" s="79"/>
      <c r="H183" s="79"/>
    </row>
    <row r="184" spans="5:8" ht="14.25">
      <c r="E184" s="76"/>
      <c r="F184" s="77"/>
      <c r="G184" s="79"/>
      <c r="H184" s="79"/>
    </row>
    <row r="185" spans="5:8" ht="14.25">
      <c r="E185" s="76"/>
      <c r="F185" s="77"/>
      <c r="G185" s="79"/>
      <c r="H185" s="79"/>
    </row>
    <row r="186" spans="5:8" ht="14.25">
      <c r="E186" s="76"/>
      <c r="F186" s="77"/>
      <c r="G186" s="79"/>
      <c r="H186" s="79"/>
    </row>
    <row r="187" spans="5:8" ht="14.25">
      <c r="E187" s="76"/>
      <c r="F187" s="77"/>
      <c r="G187" s="79"/>
      <c r="H187" s="79"/>
    </row>
    <row r="188" spans="5:8" ht="14.25">
      <c r="E188" s="76"/>
      <c r="F188" s="77"/>
      <c r="G188" s="79"/>
      <c r="H188" s="79"/>
    </row>
    <row r="189" spans="5:8" ht="14.25">
      <c r="E189" s="76"/>
      <c r="F189" s="77"/>
      <c r="G189" s="79"/>
      <c r="H189" s="79"/>
    </row>
    <row r="190" spans="5:8" ht="14.25">
      <c r="E190" s="76"/>
      <c r="F190" s="77"/>
      <c r="G190" s="79"/>
      <c r="H190" s="79"/>
    </row>
    <row r="191" spans="5:8" ht="14.25">
      <c r="E191" s="76"/>
      <c r="F191" s="77"/>
      <c r="G191" s="79"/>
      <c r="H191" s="79"/>
    </row>
    <row r="192" spans="5:8" ht="14.25">
      <c r="E192" s="76"/>
      <c r="F192" s="77"/>
      <c r="G192" s="79"/>
      <c r="H192" s="79"/>
    </row>
    <row r="193" spans="5:8" ht="14.25">
      <c r="E193" s="76"/>
      <c r="F193" s="77"/>
      <c r="G193" s="79"/>
      <c r="H193" s="79"/>
    </row>
    <row r="194" spans="5:8" ht="14.25">
      <c r="E194" s="76"/>
      <c r="F194" s="76"/>
      <c r="G194" s="79"/>
      <c r="H194" s="79"/>
    </row>
    <row r="195" spans="5:8" ht="14.25">
      <c r="E195" s="80"/>
      <c r="F195" s="80"/>
      <c r="G195" s="79"/>
      <c r="H195" s="79"/>
    </row>
    <row r="196" spans="5:8" ht="14.25">
      <c r="E196" s="75"/>
      <c r="F196" s="75"/>
      <c r="G196" s="79"/>
      <c r="H196" s="79"/>
    </row>
    <row r="197" spans="5:8" ht="14.25">
      <c r="E197" s="76"/>
      <c r="F197" s="77"/>
      <c r="G197" s="79"/>
      <c r="H197" s="79"/>
    </row>
    <row r="198" spans="5:8" ht="14.25">
      <c r="E198" s="76"/>
      <c r="F198" s="77"/>
      <c r="G198" s="79"/>
      <c r="H198" s="79"/>
    </row>
    <row r="199" spans="5:8" ht="14.25">
      <c r="E199" s="76"/>
      <c r="F199" s="77"/>
      <c r="G199" s="79"/>
      <c r="H199" s="79"/>
    </row>
    <row r="200" spans="5:8" ht="14.25">
      <c r="E200" s="76"/>
      <c r="F200" s="77"/>
      <c r="G200" s="79"/>
      <c r="H200" s="79"/>
    </row>
    <row r="201" spans="5:8" ht="14.25">
      <c r="E201" s="76"/>
      <c r="F201" s="77"/>
      <c r="G201" s="79"/>
      <c r="H201" s="79"/>
    </row>
    <row r="202" spans="5:8" ht="14.25">
      <c r="E202" s="76"/>
      <c r="F202" s="77"/>
      <c r="G202" s="79"/>
      <c r="H202" s="79"/>
    </row>
    <row r="203" spans="5:8" ht="14.25">
      <c r="E203" s="76"/>
      <c r="F203" s="77"/>
      <c r="G203" s="79"/>
      <c r="H203" s="79"/>
    </row>
    <row r="204" spans="5:8" ht="14.25">
      <c r="E204" s="76"/>
      <c r="F204" s="77"/>
      <c r="G204" s="79"/>
      <c r="H204" s="79"/>
    </row>
    <row r="205" spans="5:8" ht="14.25">
      <c r="E205" s="76"/>
      <c r="F205" s="77"/>
      <c r="G205" s="79"/>
      <c r="H205" s="79"/>
    </row>
    <row r="206" spans="5:8" ht="14.25">
      <c r="E206" s="76"/>
      <c r="F206" s="77"/>
      <c r="G206" s="79"/>
      <c r="H206" s="79"/>
    </row>
    <row r="207" spans="5:8" ht="14.25">
      <c r="E207" s="76"/>
      <c r="F207" s="77"/>
      <c r="G207" s="79"/>
      <c r="H207" s="79"/>
    </row>
    <row r="208" spans="5:8" ht="14.25">
      <c r="E208" s="76"/>
      <c r="F208" s="77"/>
      <c r="G208" s="79"/>
      <c r="H208" s="79"/>
    </row>
    <row r="209" spans="5:8" ht="14.25">
      <c r="E209" s="76"/>
      <c r="F209" s="77"/>
      <c r="G209" s="79"/>
      <c r="H209" s="79"/>
    </row>
    <row r="210" spans="5:8" ht="14.25">
      <c r="E210" s="76"/>
      <c r="F210" s="76"/>
      <c r="G210" s="79"/>
      <c r="H210" s="79"/>
    </row>
    <row r="211" spans="5:8" ht="14.25">
      <c r="E211" s="76"/>
      <c r="F211" s="76"/>
      <c r="G211" s="79"/>
      <c r="H211" s="79"/>
    </row>
    <row r="212" spans="5:8" ht="14.25">
      <c r="E212" s="76"/>
      <c r="F212" s="76"/>
      <c r="G212" s="79"/>
      <c r="H212" s="79"/>
    </row>
    <row r="213" spans="5:8" ht="14.25">
      <c r="E213" s="76"/>
      <c r="F213" s="76"/>
      <c r="G213" s="79"/>
      <c r="H213" s="79"/>
    </row>
    <row r="214" spans="5:8" ht="14.25">
      <c r="E214" s="76"/>
      <c r="F214" s="76"/>
      <c r="G214" s="79"/>
      <c r="H214" s="79"/>
    </row>
    <row r="215" spans="5:8" ht="14.25">
      <c r="E215" s="76"/>
      <c r="F215" s="76"/>
      <c r="G215" s="79"/>
      <c r="H215" s="79"/>
    </row>
    <row r="216" spans="5:8" ht="14.25">
      <c r="E216" s="76"/>
      <c r="F216" s="76"/>
      <c r="G216" s="79"/>
      <c r="H216" s="79"/>
    </row>
    <row r="217" spans="5:8" ht="14.25">
      <c r="E217" s="76"/>
      <c r="F217" s="76"/>
      <c r="G217" s="79"/>
      <c r="H217" s="79"/>
    </row>
    <row r="218" spans="5:8" ht="14.25">
      <c r="E218" s="76"/>
      <c r="F218" s="76"/>
      <c r="G218" s="79"/>
      <c r="H218" s="79"/>
    </row>
    <row r="219" spans="5:8" ht="14.25">
      <c r="E219" s="76"/>
      <c r="F219" s="76"/>
      <c r="G219" s="79"/>
      <c r="H219" s="79"/>
    </row>
    <row r="220" spans="5:8" ht="14.25">
      <c r="E220" s="76"/>
      <c r="F220" s="76"/>
      <c r="G220" s="79"/>
      <c r="H220" s="79"/>
    </row>
    <row r="221" spans="5:8" ht="14.25">
      <c r="E221" s="76"/>
      <c r="F221" s="76"/>
      <c r="G221" s="79"/>
      <c r="H221" s="79"/>
    </row>
    <row r="222" spans="5:8" ht="14.25">
      <c r="E222" s="76"/>
      <c r="F222" s="76"/>
      <c r="G222" s="79"/>
      <c r="H222" s="79"/>
    </row>
    <row r="223" spans="5:8" ht="14.25">
      <c r="E223" s="76"/>
      <c r="F223" s="76"/>
      <c r="G223" s="79"/>
      <c r="H223" s="79"/>
    </row>
    <row r="224" spans="5:8" ht="14.25">
      <c r="E224" s="76"/>
      <c r="F224" s="76"/>
      <c r="G224" s="79"/>
      <c r="H224" s="79"/>
    </row>
    <row r="225" spans="5:8" ht="14.25">
      <c r="E225" s="76"/>
      <c r="F225" s="76"/>
      <c r="G225" s="79"/>
      <c r="H225" s="79"/>
    </row>
    <row r="226" spans="5:8" ht="14.25">
      <c r="E226" s="76"/>
      <c r="F226" s="76"/>
      <c r="G226" s="79"/>
      <c r="H226" s="79"/>
    </row>
    <row r="227" spans="5:8" ht="14.25">
      <c r="E227" s="76"/>
      <c r="F227" s="76"/>
      <c r="G227" s="79"/>
      <c r="H227" s="79"/>
    </row>
    <row r="228" spans="5:8" ht="14.25">
      <c r="E228" s="76"/>
      <c r="F228" s="76"/>
      <c r="G228" s="79"/>
      <c r="H228" s="79"/>
    </row>
    <row r="229" spans="5:8" ht="14.25">
      <c r="E229" s="76"/>
      <c r="F229" s="76"/>
      <c r="G229" s="79"/>
      <c r="H229" s="79"/>
    </row>
    <row r="230" spans="5:8" ht="14.25">
      <c r="E230" s="76"/>
      <c r="F230" s="76"/>
      <c r="G230" s="79"/>
      <c r="H230" s="79"/>
    </row>
    <row r="231" spans="5:8" ht="14.25">
      <c r="E231" s="76"/>
      <c r="F231" s="76"/>
      <c r="G231" s="79"/>
      <c r="H231" s="79"/>
    </row>
    <row r="232" spans="5:8" ht="14.25">
      <c r="E232" s="76"/>
      <c r="F232" s="76"/>
      <c r="G232" s="79"/>
      <c r="H232" s="79"/>
    </row>
    <row r="233" spans="5:8" ht="14.25">
      <c r="E233" s="76"/>
      <c r="F233" s="76"/>
      <c r="G233" s="79"/>
      <c r="H233" s="79"/>
    </row>
    <row r="234" spans="5:8" ht="14.25">
      <c r="E234" s="76"/>
      <c r="F234" s="76"/>
      <c r="G234" s="79"/>
      <c r="H234" s="79"/>
    </row>
    <row r="235" spans="5:8" ht="14.25">
      <c r="E235" s="76"/>
      <c r="F235" s="76"/>
      <c r="G235" s="79"/>
      <c r="H235" s="79"/>
    </row>
    <row r="236" spans="5:8" ht="14.25">
      <c r="E236" s="76"/>
      <c r="F236" s="76"/>
      <c r="G236" s="79"/>
      <c r="H236" s="79"/>
    </row>
    <row r="237" spans="5:8" ht="14.25">
      <c r="E237" s="76"/>
      <c r="F237" s="76"/>
      <c r="G237" s="79"/>
      <c r="H237" s="79"/>
    </row>
    <row r="238" spans="5:8" ht="14.25">
      <c r="E238" s="76"/>
      <c r="F238" s="76"/>
      <c r="G238" s="79"/>
      <c r="H238" s="79"/>
    </row>
    <row r="239" spans="5:8" ht="14.25">
      <c r="E239" s="76"/>
      <c r="F239" s="76"/>
      <c r="G239" s="79"/>
      <c r="H239" s="79"/>
    </row>
    <row r="240" spans="5:8" ht="14.25">
      <c r="E240" s="76"/>
      <c r="F240" s="76"/>
      <c r="G240" s="79"/>
      <c r="H240" s="79"/>
    </row>
    <row r="241" spans="5:8" ht="14.25">
      <c r="E241" s="76"/>
      <c r="F241" s="76"/>
      <c r="G241" s="79"/>
      <c r="H241" s="79"/>
    </row>
    <row r="242" spans="5:8" ht="14.25">
      <c r="E242" s="76"/>
      <c r="F242" s="76"/>
      <c r="G242" s="79"/>
      <c r="H242" s="79"/>
    </row>
    <row r="243" spans="5:8" ht="14.25">
      <c r="E243" s="76"/>
      <c r="F243" s="76"/>
      <c r="G243" s="79"/>
      <c r="H243" s="79"/>
    </row>
    <row r="244" spans="5:8" ht="14.25">
      <c r="E244" s="76"/>
      <c r="F244" s="76"/>
      <c r="G244" s="79"/>
      <c r="H244" s="79"/>
    </row>
    <row r="245" spans="5:8" ht="14.25">
      <c r="E245" s="76"/>
      <c r="F245" s="76"/>
      <c r="G245" s="79"/>
      <c r="H245" s="79"/>
    </row>
    <row r="246" spans="5:8" ht="14.25">
      <c r="E246" s="76"/>
      <c r="F246" s="76"/>
      <c r="G246" s="79"/>
      <c r="H246" s="79"/>
    </row>
    <row r="247" spans="5:8" ht="14.25">
      <c r="E247" s="76"/>
      <c r="F247" s="76"/>
      <c r="G247" s="79"/>
      <c r="H247" s="79"/>
    </row>
    <row r="248" spans="5:8" ht="14.25">
      <c r="E248" s="76"/>
      <c r="F248" s="76"/>
      <c r="G248" s="79"/>
      <c r="H248" s="79"/>
    </row>
    <row r="249" spans="5:8" ht="14.25">
      <c r="E249" s="76"/>
      <c r="F249" s="76"/>
      <c r="G249" s="79"/>
      <c r="H249" s="79"/>
    </row>
    <row r="250" spans="5:8" ht="14.25">
      <c r="E250" s="76"/>
      <c r="F250" s="76"/>
      <c r="G250" s="79"/>
      <c r="H250" s="79"/>
    </row>
    <row r="251" spans="5:8" ht="14.25">
      <c r="E251" s="76"/>
      <c r="F251" s="76"/>
      <c r="G251" s="79"/>
      <c r="H251" s="79"/>
    </row>
    <row r="252" spans="5:8" ht="14.25">
      <c r="E252" s="76"/>
      <c r="F252" s="76"/>
      <c r="G252" s="79"/>
      <c r="H252" s="79"/>
    </row>
    <row r="253" spans="5:8" ht="14.25">
      <c r="E253" s="76"/>
      <c r="F253" s="76"/>
      <c r="G253" s="79"/>
      <c r="H253" s="79"/>
    </row>
    <row r="254" spans="5:8" ht="14.25">
      <c r="E254" s="76"/>
      <c r="F254" s="76"/>
      <c r="G254" s="79"/>
      <c r="H254" s="79"/>
    </row>
    <row r="255" spans="5:8" ht="14.25">
      <c r="E255" s="76"/>
      <c r="F255" s="76"/>
      <c r="G255" s="79"/>
      <c r="H255" s="79"/>
    </row>
    <row r="256" spans="5:8" ht="14.25">
      <c r="E256" s="76"/>
      <c r="F256" s="76"/>
      <c r="G256" s="79"/>
      <c r="H256" s="79"/>
    </row>
    <row r="257" spans="5:8" ht="14.25">
      <c r="E257" s="76"/>
      <c r="F257" s="76"/>
      <c r="G257" s="79"/>
      <c r="H257" s="79"/>
    </row>
    <row r="258" spans="5:8" ht="14.25">
      <c r="E258" s="76"/>
      <c r="F258" s="76"/>
      <c r="G258" s="79"/>
      <c r="H258" s="79"/>
    </row>
    <row r="259" spans="5:8" ht="14.25">
      <c r="E259" s="76"/>
      <c r="F259" s="76"/>
      <c r="G259" s="79"/>
      <c r="H259" s="79"/>
    </row>
    <row r="260" spans="5:8" ht="14.25">
      <c r="E260" s="76"/>
      <c r="F260" s="76"/>
      <c r="G260" s="79"/>
      <c r="H260" s="79"/>
    </row>
    <row r="261" spans="5:8" ht="14.25">
      <c r="E261" s="76"/>
      <c r="F261" s="76"/>
      <c r="G261" s="79"/>
      <c r="H261" s="79"/>
    </row>
    <row r="262" spans="5:8" ht="14.25">
      <c r="E262" s="76"/>
      <c r="F262" s="76"/>
      <c r="G262" s="79"/>
      <c r="H262" s="79"/>
    </row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</sheetData>
  <sheetProtection/>
  <mergeCells count="8">
    <mergeCell ref="A99:B99"/>
    <mergeCell ref="A115:B115"/>
    <mergeCell ref="I1:L1"/>
    <mergeCell ref="A35:B35"/>
    <mergeCell ref="A51:B51"/>
    <mergeCell ref="A67:B67"/>
    <mergeCell ref="A83:B83"/>
    <mergeCell ref="A2:L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5" r:id="rId1"/>
  <rowBreaks count="5" manualBreakCount="5">
    <brk id="34" max="11" man="1"/>
    <brk id="66" max="11" man="1"/>
    <brk id="98" max="11" man="1"/>
    <brk id="130" max="15" man="1"/>
    <brk id="162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234"/>
  <sheetViews>
    <sheetView view="pageBreakPreview" zoomScale="85" zoomScaleNormal="60" zoomScaleSheetLayoutView="85" zoomScalePageLayoutView="0" workbookViewId="0" topLeftCell="A46">
      <selection activeCell="K64" sqref="K64"/>
    </sheetView>
  </sheetViews>
  <sheetFormatPr defaultColWidth="9.140625" defaultRowHeight="15"/>
  <cols>
    <col min="1" max="1" width="6.7109375" style="52" customWidth="1"/>
    <col min="2" max="2" width="52.7109375" style="52" bestFit="1" customWidth="1"/>
    <col min="3" max="6" width="15.7109375" style="53" customWidth="1"/>
    <col min="7" max="7" width="6.7109375" style="52" customWidth="1"/>
    <col min="8" max="8" width="59.7109375" style="52" bestFit="1" customWidth="1"/>
    <col min="9" max="10" width="15.7109375" style="53" customWidth="1"/>
    <col min="11" max="12" width="15.7109375" style="52" customWidth="1"/>
    <col min="13" max="13" width="9.140625" style="52" customWidth="1"/>
    <col min="14" max="14" width="10.8515625" style="52" bestFit="1" customWidth="1"/>
    <col min="15" max="16384" width="9.140625" style="52" customWidth="1"/>
  </cols>
  <sheetData>
    <row r="1" spans="1:12" ht="15">
      <c r="A1" s="90"/>
      <c r="B1" s="200"/>
      <c r="C1" s="200"/>
      <c r="D1" s="200"/>
      <c r="E1" s="200"/>
      <c r="F1" s="200"/>
      <c r="G1" s="200"/>
      <c r="H1" s="201"/>
      <c r="I1" s="752" t="s">
        <v>944</v>
      </c>
      <c r="J1" s="752"/>
      <c r="K1" s="752"/>
      <c r="L1" s="752"/>
    </row>
    <row r="2" spans="1:12" ht="27.75" customHeight="1">
      <c r="A2" s="750" t="s">
        <v>884</v>
      </c>
      <c r="B2" s="750"/>
      <c r="C2" s="750"/>
      <c r="D2" s="750"/>
      <c r="E2" s="750"/>
      <c r="F2" s="750"/>
      <c r="G2" s="750"/>
      <c r="H2" s="750"/>
      <c r="I2" s="750"/>
      <c r="J2" s="750"/>
      <c r="K2" s="90"/>
      <c r="L2" s="90"/>
    </row>
    <row r="3" spans="1:12" ht="16.5" thickBot="1">
      <c r="A3" s="751" t="s">
        <v>226</v>
      </c>
      <c r="B3" s="747"/>
      <c r="C3" s="93"/>
      <c r="D3" s="93"/>
      <c r="E3" s="93"/>
      <c r="F3" s="93"/>
      <c r="G3" s="90"/>
      <c r="H3" s="90"/>
      <c r="I3" s="93"/>
      <c r="J3" s="93"/>
      <c r="K3" s="90"/>
      <c r="L3" s="95" t="s">
        <v>216</v>
      </c>
    </row>
    <row r="4" spans="1:12" s="55" customFormat="1" ht="45" customHeight="1">
      <c r="A4" s="96"/>
      <c r="B4" s="97" t="s">
        <v>104</v>
      </c>
      <c r="C4" s="86" t="s">
        <v>227</v>
      </c>
      <c r="D4" s="86" t="s">
        <v>789</v>
      </c>
      <c r="E4" s="86" t="s">
        <v>303</v>
      </c>
      <c r="F4" s="87" t="s">
        <v>304</v>
      </c>
      <c r="G4" s="96"/>
      <c r="H4" s="97" t="s">
        <v>105</v>
      </c>
      <c r="I4" s="86" t="s">
        <v>227</v>
      </c>
      <c r="J4" s="86" t="s">
        <v>789</v>
      </c>
      <c r="K4" s="86" t="s">
        <v>303</v>
      </c>
      <c r="L4" s="87" t="s">
        <v>304</v>
      </c>
    </row>
    <row r="5" spans="1:12" ht="19.5" customHeight="1">
      <c r="A5" s="99" t="s">
        <v>23</v>
      </c>
      <c r="B5" s="100" t="s">
        <v>108</v>
      </c>
      <c r="C5" s="101">
        <f>+C21+C38+C54+C70+C86+C102+C118</f>
        <v>32632455</v>
      </c>
      <c r="D5" s="101">
        <f>+D21+D38+D54+D70+D86+D102+D118</f>
        <v>38932455</v>
      </c>
      <c r="E5" s="101">
        <f>+E21+E38+E54+E70+E86+E102+E118</f>
        <v>36520744</v>
      </c>
      <c r="F5" s="102">
        <f>+E5/D5</f>
        <v>0.9380539706525057</v>
      </c>
      <c r="G5" s="99" t="s">
        <v>23</v>
      </c>
      <c r="H5" s="100" t="s">
        <v>129</v>
      </c>
      <c r="I5" s="101">
        <f>+I21+I38+I54+I70+I86+I102+I118</f>
        <v>47291313</v>
      </c>
      <c r="J5" s="101">
        <f>+J21+J38+J54+J70+J86+J102+J118</f>
        <v>53591313</v>
      </c>
      <c r="K5" s="101">
        <f>+K21+K38+K54+K70+K86+K102+K118</f>
        <v>20555435</v>
      </c>
      <c r="L5" s="102">
        <f>+K5/J5</f>
        <v>0.38355908540624856</v>
      </c>
    </row>
    <row r="6" spans="1:12" ht="19.5" customHeight="1">
      <c r="A6" s="99" t="s">
        <v>111</v>
      </c>
      <c r="B6" s="127" t="s">
        <v>209</v>
      </c>
      <c r="C6" s="101">
        <f aca="true" t="shared" si="0" ref="C6:E17">+C22+C39+C55+C71+C87+C103+C119</f>
        <v>17640455</v>
      </c>
      <c r="D6" s="101">
        <f t="shared" si="0"/>
        <v>23940455</v>
      </c>
      <c r="E6" s="101">
        <f t="shared" si="0"/>
        <v>22748744</v>
      </c>
      <c r="F6" s="102">
        <f>+E6/D6</f>
        <v>0.9502218733938014</v>
      </c>
      <c r="G6" s="99" t="s">
        <v>111</v>
      </c>
      <c r="H6" s="127" t="s">
        <v>80</v>
      </c>
      <c r="I6" s="101">
        <f aca="true" t="shared" si="1" ref="I6:K17">+I22+I39+I55+I71+I87+I103+I119</f>
        <v>25965555</v>
      </c>
      <c r="J6" s="101">
        <f t="shared" si="1"/>
        <v>27198533</v>
      </c>
      <c r="K6" s="101">
        <f t="shared" si="1"/>
        <v>12060939</v>
      </c>
      <c r="L6" s="102">
        <f>+K6/J6</f>
        <v>0.4434407914573922</v>
      </c>
    </row>
    <row r="7" spans="1:12" ht="19.5" customHeight="1">
      <c r="A7" s="99"/>
      <c r="B7" s="128" t="s">
        <v>210</v>
      </c>
      <c r="C7" s="101">
        <f t="shared" si="0"/>
        <v>17640455</v>
      </c>
      <c r="D7" s="101">
        <f t="shared" si="0"/>
        <v>23940455</v>
      </c>
      <c r="E7" s="101">
        <f t="shared" si="0"/>
        <v>22748744</v>
      </c>
      <c r="F7" s="102">
        <f>+E7/D7</f>
        <v>0.9502218733938014</v>
      </c>
      <c r="G7" s="99" t="s">
        <v>112</v>
      </c>
      <c r="H7" s="128" t="s">
        <v>147</v>
      </c>
      <c r="I7" s="101">
        <f t="shared" si="1"/>
        <v>4072326</v>
      </c>
      <c r="J7" s="101">
        <f t="shared" si="1"/>
        <v>3921873</v>
      </c>
      <c r="K7" s="101">
        <f t="shared" si="1"/>
        <v>1695384</v>
      </c>
      <c r="L7" s="102">
        <f>+K7/J7</f>
        <v>0.4322893678607135</v>
      </c>
    </row>
    <row r="8" spans="1:12" ht="19.5" customHeight="1">
      <c r="A8" s="99" t="s">
        <v>112</v>
      </c>
      <c r="B8" s="129" t="s">
        <v>9</v>
      </c>
      <c r="C8" s="101"/>
      <c r="D8" s="101"/>
      <c r="E8" s="101"/>
      <c r="F8" s="102"/>
      <c r="G8" s="99" t="s">
        <v>113</v>
      </c>
      <c r="H8" s="129" t="s">
        <v>83</v>
      </c>
      <c r="I8" s="101">
        <f t="shared" si="1"/>
        <v>17253432</v>
      </c>
      <c r="J8" s="101">
        <f t="shared" si="1"/>
        <v>22470907</v>
      </c>
      <c r="K8" s="101">
        <f t="shared" si="1"/>
        <v>6799112</v>
      </c>
      <c r="L8" s="102">
        <f>+K8/J8</f>
        <v>0.3025739904490727</v>
      </c>
    </row>
    <row r="9" spans="1:12" ht="19.5" customHeight="1">
      <c r="A9" s="99" t="s">
        <v>113</v>
      </c>
      <c r="B9" s="100" t="s">
        <v>170</v>
      </c>
      <c r="C9" s="101"/>
      <c r="D9" s="101"/>
      <c r="E9" s="101"/>
      <c r="F9" s="102"/>
      <c r="G9" s="99" t="s">
        <v>114</v>
      </c>
      <c r="H9" s="100" t="s">
        <v>84</v>
      </c>
      <c r="I9" s="101"/>
      <c r="J9" s="101"/>
      <c r="K9" s="101"/>
      <c r="L9" s="102"/>
    </row>
    <row r="10" spans="1:12" ht="19.5" customHeight="1">
      <c r="A10" s="99" t="s">
        <v>114</v>
      </c>
      <c r="B10" s="129" t="s">
        <v>181</v>
      </c>
      <c r="C10" s="101">
        <f t="shared" si="0"/>
        <v>14992000</v>
      </c>
      <c r="D10" s="101">
        <f t="shared" si="0"/>
        <v>14992000</v>
      </c>
      <c r="E10" s="101">
        <f t="shared" si="0"/>
        <v>13772000</v>
      </c>
      <c r="F10" s="102"/>
      <c r="G10" s="99" t="s">
        <v>115</v>
      </c>
      <c r="H10" s="129" t="s">
        <v>211</v>
      </c>
      <c r="I10" s="101"/>
      <c r="J10" s="101"/>
      <c r="K10" s="101"/>
      <c r="L10" s="102"/>
    </row>
    <row r="11" spans="1:12" ht="19.5" customHeight="1">
      <c r="A11" s="112" t="s">
        <v>45</v>
      </c>
      <c r="B11" s="100" t="s">
        <v>118</v>
      </c>
      <c r="C11" s="101">
        <f t="shared" si="0"/>
        <v>0</v>
      </c>
      <c r="D11" s="101">
        <f t="shared" si="0"/>
        <v>71000000</v>
      </c>
      <c r="E11" s="101">
        <f t="shared" si="0"/>
        <v>71000000</v>
      </c>
      <c r="F11" s="102">
        <f>+E11/D11</f>
        <v>1</v>
      </c>
      <c r="G11" s="112" t="s">
        <v>45</v>
      </c>
      <c r="H11" s="100" t="s">
        <v>130</v>
      </c>
      <c r="I11" s="101">
        <f t="shared" si="1"/>
        <v>1045595</v>
      </c>
      <c r="J11" s="101">
        <f t="shared" si="1"/>
        <v>72045595</v>
      </c>
      <c r="K11" s="101">
        <f t="shared" si="1"/>
        <v>45595</v>
      </c>
      <c r="L11" s="102">
        <f>+K11/J11</f>
        <v>0.0006328631195286818</v>
      </c>
    </row>
    <row r="12" spans="1:12" ht="19.5" customHeight="1">
      <c r="A12" s="112" t="s">
        <v>111</v>
      </c>
      <c r="B12" s="129" t="s">
        <v>106</v>
      </c>
      <c r="C12" s="101">
        <f t="shared" si="0"/>
        <v>0</v>
      </c>
      <c r="D12" s="101">
        <f t="shared" si="0"/>
        <v>71000000</v>
      </c>
      <c r="E12" s="101">
        <f t="shared" si="0"/>
        <v>71000000</v>
      </c>
      <c r="F12" s="102">
        <f>+E12/D12</f>
        <v>1</v>
      </c>
      <c r="G12" s="112" t="s">
        <v>111</v>
      </c>
      <c r="H12" s="129" t="s">
        <v>131</v>
      </c>
      <c r="I12" s="101">
        <f t="shared" si="1"/>
        <v>1045595</v>
      </c>
      <c r="J12" s="101">
        <f t="shared" si="1"/>
        <v>72045595</v>
      </c>
      <c r="K12" s="101">
        <f t="shared" si="1"/>
        <v>45595</v>
      </c>
      <c r="L12" s="102">
        <f>+K12/J12</f>
        <v>0.0006328631195286818</v>
      </c>
    </row>
    <row r="13" spans="1:12" ht="19.5" customHeight="1">
      <c r="A13" s="112" t="s">
        <v>112</v>
      </c>
      <c r="B13" s="116" t="s">
        <v>39</v>
      </c>
      <c r="C13" s="101"/>
      <c r="D13" s="101"/>
      <c r="E13" s="101"/>
      <c r="F13" s="102"/>
      <c r="G13" s="112" t="s">
        <v>112</v>
      </c>
      <c r="H13" s="116" t="s">
        <v>87</v>
      </c>
      <c r="I13" s="101"/>
      <c r="J13" s="101"/>
      <c r="K13" s="101"/>
      <c r="L13" s="102"/>
    </row>
    <row r="14" spans="1:12" ht="19.5" customHeight="1">
      <c r="A14" s="112" t="s">
        <v>113</v>
      </c>
      <c r="B14" s="129" t="s">
        <v>201</v>
      </c>
      <c r="C14" s="101"/>
      <c r="D14" s="101"/>
      <c r="E14" s="101"/>
      <c r="F14" s="102"/>
      <c r="G14" s="112" t="s">
        <v>113</v>
      </c>
      <c r="H14" s="129" t="s">
        <v>90</v>
      </c>
      <c r="I14" s="101"/>
      <c r="J14" s="101"/>
      <c r="K14" s="101"/>
      <c r="L14" s="102"/>
    </row>
    <row r="15" spans="1:12" ht="19.5" customHeight="1">
      <c r="A15" s="112" t="s">
        <v>56</v>
      </c>
      <c r="B15" s="100" t="s">
        <v>126</v>
      </c>
      <c r="C15" s="101">
        <f t="shared" si="0"/>
        <v>19000000</v>
      </c>
      <c r="D15" s="101">
        <f t="shared" si="0"/>
        <v>19000000</v>
      </c>
      <c r="E15" s="101">
        <f t="shared" si="0"/>
        <v>19000000</v>
      </c>
      <c r="F15" s="102">
        <f>+E15/D15</f>
        <v>1</v>
      </c>
      <c r="G15" s="112" t="s">
        <v>56</v>
      </c>
      <c r="H15" s="100" t="s">
        <v>132</v>
      </c>
      <c r="I15" s="101">
        <f t="shared" si="1"/>
        <v>4295547</v>
      </c>
      <c r="J15" s="101">
        <f t="shared" si="1"/>
        <v>4295547</v>
      </c>
      <c r="K15" s="101">
        <f>+K31+K48+K64+K80+K96+K112+K128</f>
        <v>2295547</v>
      </c>
      <c r="L15" s="102">
        <f>+K15/J15</f>
        <v>0.534401555843761</v>
      </c>
    </row>
    <row r="16" spans="1:12" ht="19.5" customHeight="1">
      <c r="A16" s="99" t="s">
        <v>64</v>
      </c>
      <c r="B16" s="116" t="s">
        <v>127</v>
      </c>
      <c r="C16" s="101">
        <f t="shared" si="0"/>
        <v>1000000</v>
      </c>
      <c r="D16" s="101">
        <f t="shared" si="0"/>
        <v>1000000</v>
      </c>
      <c r="E16" s="101">
        <f t="shared" si="0"/>
        <v>1000000</v>
      </c>
      <c r="F16" s="102">
        <f>+E16/D16</f>
        <v>1</v>
      </c>
      <c r="G16" s="99" t="s">
        <v>64</v>
      </c>
      <c r="H16" s="116" t="s">
        <v>133</v>
      </c>
      <c r="I16" s="101"/>
      <c r="J16" s="101"/>
      <c r="K16" s="101"/>
      <c r="L16" s="102"/>
    </row>
    <row r="17" spans="1:12" ht="19.5" customHeight="1" thickBot="1">
      <c r="A17" s="117"/>
      <c r="B17" s="118" t="s">
        <v>148</v>
      </c>
      <c r="C17" s="88">
        <f t="shared" si="0"/>
        <v>52632455</v>
      </c>
      <c r="D17" s="88">
        <f t="shared" si="0"/>
        <v>129932455</v>
      </c>
      <c r="E17" s="88">
        <f t="shared" si="0"/>
        <v>127520744</v>
      </c>
      <c r="F17" s="119">
        <f>+E17/D17</f>
        <v>0.9814387329170375</v>
      </c>
      <c r="G17" s="117"/>
      <c r="H17" s="118" t="s">
        <v>149</v>
      </c>
      <c r="I17" s="88">
        <f t="shared" si="1"/>
        <v>52632455</v>
      </c>
      <c r="J17" s="88">
        <f t="shared" si="1"/>
        <v>129932455</v>
      </c>
      <c r="K17" s="88">
        <f>+K33+K50+K66+K82+K98+K114+K130</f>
        <v>22896577</v>
      </c>
      <c r="L17" s="119">
        <f>+K17/J17</f>
        <v>0.17621907474926107</v>
      </c>
    </row>
    <row r="18" spans="1:12" ht="20.25" customHeight="1">
      <c r="A18" s="123"/>
      <c r="B18" s="123"/>
      <c r="C18" s="130"/>
      <c r="D18" s="130"/>
      <c r="E18" s="85"/>
      <c r="F18" s="85"/>
      <c r="G18" s="123"/>
      <c r="H18" s="90"/>
      <c r="I18" s="95"/>
      <c r="J18" s="95"/>
      <c r="K18" s="85"/>
      <c r="L18" s="85"/>
    </row>
    <row r="19" spans="1:12" s="126" customFormat="1" ht="15.75" thickBot="1">
      <c r="A19" s="90" t="s">
        <v>847</v>
      </c>
      <c r="B19" s="90"/>
      <c r="C19" s="93"/>
      <c r="D19" s="93"/>
      <c r="E19" s="84"/>
      <c r="F19" s="84"/>
      <c r="G19" s="90"/>
      <c r="H19" s="90"/>
      <c r="K19" s="84"/>
      <c r="L19" s="95" t="s">
        <v>216</v>
      </c>
    </row>
    <row r="20" spans="1:12" s="126" customFormat="1" ht="45" customHeight="1">
      <c r="A20" s="96"/>
      <c r="B20" s="97" t="s">
        <v>104</v>
      </c>
      <c r="C20" s="86" t="s">
        <v>227</v>
      </c>
      <c r="D20" s="86" t="s">
        <v>789</v>
      </c>
      <c r="E20" s="86" t="s">
        <v>303</v>
      </c>
      <c r="F20" s="87" t="s">
        <v>304</v>
      </c>
      <c r="G20" s="96"/>
      <c r="H20" s="97" t="s">
        <v>105</v>
      </c>
      <c r="I20" s="86" t="s">
        <v>227</v>
      </c>
      <c r="J20" s="86" t="s">
        <v>789</v>
      </c>
      <c r="K20" s="86" t="s">
        <v>303</v>
      </c>
      <c r="L20" s="87" t="s">
        <v>304</v>
      </c>
    </row>
    <row r="21" spans="1:12" s="90" customFormat="1" ht="19.5" customHeight="1">
      <c r="A21" s="99" t="s">
        <v>23</v>
      </c>
      <c r="B21" s="100" t="s">
        <v>108</v>
      </c>
      <c r="C21" s="101">
        <f>+C22+C24+C25+C26</f>
        <v>2820455</v>
      </c>
      <c r="D21" s="101">
        <f>+D22+D24+D25+D26</f>
        <v>2820455</v>
      </c>
      <c r="E21" s="101">
        <f>+E22+E24+E25+E26</f>
        <v>1628744</v>
      </c>
      <c r="F21" s="102">
        <f>+E21/D21</f>
        <v>0.5774756200683933</v>
      </c>
      <c r="G21" s="99" t="s">
        <v>23</v>
      </c>
      <c r="H21" s="100" t="s">
        <v>129</v>
      </c>
      <c r="I21" s="135">
        <f>+I22+I23+I24+I25+I26</f>
        <v>2774860</v>
      </c>
      <c r="J21" s="101">
        <f>+J22+J23+J24+J25+J26</f>
        <v>2774860</v>
      </c>
      <c r="K21" s="601">
        <f>+K22+K23+K24+K25+K26</f>
        <v>1207933</v>
      </c>
      <c r="L21" s="102">
        <f>+K21/J21</f>
        <v>0.4353131329148137</v>
      </c>
    </row>
    <row r="22" spans="1:12" s="90" customFormat="1" ht="19.5" customHeight="1">
      <c r="A22" s="99" t="s">
        <v>111</v>
      </c>
      <c r="B22" s="127" t="s">
        <v>209</v>
      </c>
      <c r="C22" s="106">
        <f>+C23</f>
        <v>2820455</v>
      </c>
      <c r="D22" s="106">
        <f>+D23</f>
        <v>2820455</v>
      </c>
      <c r="E22" s="106">
        <f>+E23</f>
        <v>1628744</v>
      </c>
      <c r="F22" s="599">
        <f>+E22/D22</f>
        <v>0.5774756200683933</v>
      </c>
      <c r="G22" s="99" t="s">
        <v>111</v>
      </c>
      <c r="H22" s="127" t="s">
        <v>80</v>
      </c>
      <c r="I22" s="137">
        <f>1337180+1002885</f>
        <v>2340065</v>
      </c>
      <c r="J22" s="106">
        <f>1337180+1002885</f>
        <v>2340065</v>
      </c>
      <c r="K22" s="602">
        <v>983639</v>
      </c>
      <c r="L22" s="599">
        <f>+K22/J22</f>
        <v>0.42034687070658294</v>
      </c>
    </row>
    <row r="23" spans="1:12" s="90" customFormat="1" ht="19.5" customHeight="1">
      <c r="A23" s="99"/>
      <c r="B23" s="128" t="s">
        <v>210</v>
      </c>
      <c r="C23" s="106">
        <v>2820455</v>
      </c>
      <c r="D23" s="106">
        <v>2820455</v>
      </c>
      <c r="E23" s="106">
        <v>1628744</v>
      </c>
      <c r="F23" s="599">
        <f>+E23/D23</f>
        <v>0.5774756200683933</v>
      </c>
      <c r="G23" s="99" t="s">
        <v>112</v>
      </c>
      <c r="H23" s="128" t="s">
        <v>147</v>
      </c>
      <c r="I23" s="137">
        <f>103636+77727</f>
        <v>181363</v>
      </c>
      <c r="J23" s="106">
        <f>103636+77727</f>
        <v>181363</v>
      </c>
      <c r="K23" s="602">
        <v>76231</v>
      </c>
      <c r="L23" s="599">
        <f>+K23/J23</f>
        <v>0.42032277807491053</v>
      </c>
    </row>
    <row r="24" spans="1:12" s="90" customFormat="1" ht="19.5" customHeight="1">
      <c r="A24" s="99" t="s">
        <v>112</v>
      </c>
      <c r="B24" s="129" t="s">
        <v>9</v>
      </c>
      <c r="C24" s="106"/>
      <c r="D24" s="106"/>
      <c r="E24" s="101"/>
      <c r="F24" s="102"/>
      <c r="G24" s="99" t="s">
        <v>113</v>
      </c>
      <c r="H24" s="129" t="s">
        <v>83</v>
      </c>
      <c r="I24" s="137">
        <v>253432</v>
      </c>
      <c r="J24" s="106">
        <v>253432</v>
      </c>
      <c r="K24" s="602">
        <v>148063</v>
      </c>
      <c r="L24" s="599">
        <f>+K24/J24</f>
        <v>0.5842316676662773</v>
      </c>
    </row>
    <row r="25" spans="1:12" s="90" customFormat="1" ht="19.5" customHeight="1">
      <c r="A25" s="99" t="s">
        <v>113</v>
      </c>
      <c r="B25" s="100" t="s">
        <v>170</v>
      </c>
      <c r="C25" s="106"/>
      <c r="D25" s="106"/>
      <c r="E25" s="101"/>
      <c r="F25" s="102"/>
      <c r="G25" s="99" t="s">
        <v>114</v>
      </c>
      <c r="H25" s="100" t="s">
        <v>84</v>
      </c>
      <c r="I25" s="137"/>
      <c r="J25" s="106"/>
      <c r="K25" s="601"/>
      <c r="L25" s="102"/>
    </row>
    <row r="26" spans="1:12" s="90" customFormat="1" ht="19.5" customHeight="1">
      <c r="A26" s="99" t="s">
        <v>114</v>
      </c>
      <c r="B26" s="129" t="s">
        <v>181</v>
      </c>
      <c r="C26" s="106"/>
      <c r="D26" s="106"/>
      <c r="E26" s="101"/>
      <c r="F26" s="102"/>
      <c r="G26" s="99" t="s">
        <v>115</v>
      </c>
      <c r="H26" s="129" t="s">
        <v>211</v>
      </c>
      <c r="I26" s="137"/>
      <c r="J26" s="106"/>
      <c r="K26" s="601"/>
      <c r="L26" s="102"/>
    </row>
    <row r="27" spans="1:12" s="90" customFormat="1" ht="19.5" customHeight="1">
      <c r="A27" s="112" t="s">
        <v>45</v>
      </c>
      <c r="B27" s="100" t="s">
        <v>118</v>
      </c>
      <c r="C27" s="101"/>
      <c r="D27" s="101"/>
      <c r="E27" s="101"/>
      <c r="F27" s="102"/>
      <c r="G27" s="112" t="s">
        <v>45</v>
      </c>
      <c r="H27" s="100" t="s">
        <v>130</v>
      </c>
      <c r="I27" s="135">
        <f>+I28+I29+I30</f>
        <v>45595</v>
      </c>
      <c r="J27" s="101">
        <f>+J28+J29+J30</f>
        <v>45595</v>
      </c>
      <c r="K27" s="601">
        <f>K28</f>
        <v>45595</v>
      </c>
      <c r="L27" s="102">
        <v>1</v>
      </c>
    </row>
    <row r="28" spans="1:12" s="90" customFormat="1" ht="19.5" customHeight="1">
      <c r="A28" s="112" t="s">
        <v>111</v>
      </c>
      <c r="B28" s="129" t="s">
        <v>106</v>
      </c>
      <c r="C28" s="106"/>
      <c r="D28" s="106"/>
      <c r="E28" s="101"/>
      <c r="F28" s="102"/>
      <c r="G28" s="112" t="s">
        <v>111</v>
      </c>
      <c r="H28" s="129" t="s">
        <v>131</v>
      </c>
      <c r="I28" s="137">
        <v>45595</v>
      </c>
      <c r="J28" s="106">
        <v>45595</v>
      </c>
      <c r="K28" s="602">
        <v>45595</v>
      </c>
      <c r="L28" s="599">
        <v>1</v>
      </c>
    </row>
    <row r="29" spans="1:12" s="90" customFormat="1" ht="19.5" customHeight="1">
      <c r="A29" s="112" t="s">
        <v>112</v>
      </c>
      <c r="B29" s="116" t="s">
        <v>39</v>
      </c>
      <c r="C29" s="106"/>
      <c r="D29" s="106"/>
      <c r="E29" s="101"/>
      <c r="F29" s="102"/>
      <c r="G29" s="112" t="s">
        <v>112</v>
      </c>
      <c r="H29" s="116" t="s">
        <v>87</v>
      </c>
      <c r="I29" s="137"/>
      <c r="J29" s="106"/>
      <c r="K29" s="601"/>
      <c r="L29" s="102"/>
    </row>
    <row r="30" spans="1:12" s="90" customFormat="1" ht="19.5" customHeight="1">
      <c r="A30" s="112" t="s">
        <v>113</v>
      </c>
      <c r="B30" s="129" t="s">
        <v>201</v>
      </c>
      <c r="C30" s="106"/>
      <c r="D30" s="106"/>
      <c r="E30" s="101"/>
      <c r="F30" s="102"/>
      <c r="G30" s="112" t="s">
        <v>113</v>
      </c>
      <c r="H30" s="129" t="s">
        <v>90</v>
      </c>
      <c r="I30" s="137"/>
      <c r="J30" s="106"/>
      <c r="K30" s="601"/>
      <c r="L30" s="102"/>
    </row>
    <row r="31" spans="1:12" s="90" customFormat="1" ht="19.5" customHeight="1">
      <c r="A31" s="112" t="s">
        <v>56</v>
      </c>
      <c r="B31" s="100" t="s">
        <v>126</v>
      </c>
      <c r="C31" s="101"/>
      <c r="D31" s="101"/>
      <c r="E31" s="101"/>
      <c r="F31" s="102"/>
      <c r="G31" s="112" t="s">
        <v>56</v>
      </c>
      <c r="H31" s="100" t="s">
        <v>132</v>
      </c>
      <c r="I31" s="135"/>
      <c r="J31" s="101"/>
      <c r="K31" s="601"/>
      <c r="L31" s="102"/>
    </row>
    <row r="32" spans="1:12" s="90" customFormat="1" ht="19.5" customHeight="1">
      <c r="A32" s="99" t="s">
        <v>64</v>
      </c>
      <c r="B32" s="116" t="s">
        <v>127</v>
      </c>
      <c r="C32" s="101"/>
      <c r="D32" s="101"/>
      <c r="E32" s="101"/>
      <c r="F32" s="102"/>
      <c r="G32" s="99" t="s">
        <v>64</v>
      </c>
      <c r="H32" s="116" t="s">
        <v>133</v>
      </c>
      <c r="I32" s="135"/>
      <c r="J32" s="101"/>
      <c r="K32" s="601"/>
      <c r="L32" s="102"/>
    </row>
    <row r="33" spans="1:12" s="90" customFormat="1" ht="15.75" thickBot="1">
      <c r="A33" s="117"/>
      <c r="B33" s="118" t="s">
        <v>148</v>
      </c>
      <c r="C33" s="88">
        <f>+C21+C27+C31+C32</f>
        <v>2820455</v>
      </c>
      <c r="D33" s="88">
        <f>+D21+D27+D31+D32</f>
        <v>2820455</v>
      </c>
      <c r="E33" s="88">
        <f>+E21+E27+E31+E32</f>
        <v>1628744</v>
      </c>
      <c r="F33" s="119">
        <f>+E33/D33</f>
        <v>0.5774756200683933</v>
      </c>
      <c r="G33" s="117"/>
      <c r="H33" s="118" t="s">
        <v>149</v>
      </c>
      <c r="I33" s="604">
        <f>+I32+I31+I27+I21</f>
        <v>2820455</v>
      </c>
      <c r="J33" s="88">
        <f>+J32+J31+J27+J21</f>
        <v>2820455</v>
      </c>
      <c r="K33" s="120">
        <f>+K32+K31+K27+K21</f>
        <v>1253528</v>
      </c>
      <c r="L33" s="119">
        <f>+K33/J33</f>
        <v>0.4444417656016494</v>
      </c>
    </row>
    <row r="34" spans="1:12" s="90" customFormat="1" ht="15">
      <c r="A34" s="124"/>
      <c r="B34" s="124"/>
      <c r="C34" s="125"/>
      <c r="D34" s="125"/>
      <c r="E34" s="84"/>
      <c r="F34" s="84"/>
      <c r="G34" s="124"/>
      <c r="H34" s="124"/>
      <c r="I34" s="125"/>
      <c r="J34" s="125"/>
      <c r="K34" s="84"/>
      <c r="L34" s="84"/>
    </row>
    <row r="35" spans="1:12" s="90" customFormat="1" ht="15">
      <c r="A35" s="123"/>
      <c r="B35" s="124"/>
      <c r="C35" s="125"/>
      <c r="D35" s="125"/>
      <c r="E35" s="89"/>
      <c r="F35" s="89"/>
      <c r="G35" s="123"/>
      <c r="H35" s="124"/>
      <c r="I35" s="125"/>
      <c r="J35" s="125"/>
      <c r="K35" s="89"/>
      <c r="L35" s="89"/>
    </row>
    <row r="36" spans="1:12" s="126" customFormat="1" ht="15.75" thickBot="1">
      <c r="A36" s="90" t="s">
        <v>787</v>
      </c>
      <c r="B36" s="91"/>
      <c r="C36" s="93"/>
      <c r="D36" s="93"/>
      <c r="E36" s="84"/>
      <c r="F36" s="84"/>
      <c r="G36" s="90"/>
      <c r="H36" s="90"/>
      <c r="K36" s="84"/>
      <c r="L36" s="95" t="s">
        <v>216</v>
      </c>
    </row>
    <row r="37" spans="1:12" s="126" customFormat="1" ht="45" customHeight="1">
      <c r="A37" s="96"/>
      <c r="B37" s="97" t="s">
        <v>104</v>
      </c>
      <c r="C37" s="86" t="s">
        <v>227</v>
      </c>
      <c r="D37" s="86" t="s">
        <v>789</v>
      </c>
      <c r="E37" s="86" t="s">
        <v>303</v>
      </c>
      <c r="F37" s="87" t="s">
        <v>304</v>
      </c>
      <c r="G37" s="96"/>
      <c r="H37" s="97" t="s">
        <v>105</v>
      </c>
      <c r="I37" s="86" t="s">
        <v>227</v>
      </c>
      <c r="J37" s="86" t="s">
        <v>789</v>
      </c>
      <c r="K37" s="86" t="s">
        <v>303</v>
      </c>
      <c r="L37" s="87" t="s">
        <v>304</v>
      </c>
    </row>
    <row r="38" spans="1:12" s="90" customFormat="1" ht="19.5" customHeight="1">
      <c r="A38" s="99" t="s">
        <v>23</v>
      </c>
      <c r="B38" s="100" t="s">
        <v>108</v>
      </c>
      <c r="C38" s="101"/>
      <c r="D38" s="101"/>
      <c r="E38" s="101"/>
      <c r="F38" s="102"/>
      <c r="G38" s="99" t="s">
        <v>23</v>
      </c>
      <c r="H38" s="100" t="s">
        <v>129</v>
      </c>
      <c r="I38" s="135">
        <f>+I39+I40+I41+I42+I43</f>
        <v>17000000</v>
      </c>
      <c r="J38" s="101">
        <f>+J39+J40+J41+J42+J43</f>
        <v>17000000</v>
      </c>
      <c r="K38" s="601">
        <f>+K39+K40+K41+K43</f>
        <v>6651049</v>
      </c>
      <c r="L38" s="102">
        <f>+K38/J38</f>
        <v>0.39123817647058823</v>
      </c>
    </row>
    <row r="39" spans="1:12" s="90" customFormat="1" ht="19.5" customHeight="1">
      <c r="A39" s="99" t="s">
        <v>111</v>
      </c>
      <c r="B39" s="127" t="s">
        <v>209</v>
      </c>
      <c r="C39" s="106"/>
      <c r="D39" s="106"/>
      <c r="E39" s="101"/>
      <c r="F39" s="102"/>
      <c r="G39" s="99" t="s">
        <v>111</v>
      </c>
      <c r="H39" s="127" t="s">
        <v>80</v>
      </c>
      <c r="I39" s="137"/>
      <c r="J39" s="106"/>
      <c r="K39" s="601"/>
      <c r="L39" s="102"/>
    </row>
    <row r="40" spans="1:12" s="90" customFormat="1" ht="19.5" customHeight="1">
      <c r="A40" s="99"/>
      <c r="B40" s="128" t="s">
        <v>210</v>
      </c>
      <c r="C40" s="106"/>
      <c r="D40" s="106"/>
      <c r="E40" s="101"/>
      <c r="F40" s="102"/>
      <c r="G40" s="99" t="s">
        <v>112</v>
      </c>
      <c r="H40" s="128" t="s">
        <v>147</v>
      </c>
      <c r="I40" s="137"/>
      <c r="J40" s="106"/>
      <c r="K40" s="601"/>
      <c r="L40" s="102"/>
    </row>
    <row r="41" spans="1:12" s="90" customFormat="1" ht="19.5" customHeight="1">
      <c r="A41" s="99" t="s">
        <v>112</v>
      </c>
      <c r="B41" s="129" t="s">
        <v>9</v>
      </c>
      <c r="C41" s="106"/>
      <c r="D41" s="106"/>
      <c r="E41" s="101"/>
      <c r="F41" s="102"/>
      <c r="G41" s="99" t="s">
        <v>113</v>
      </c>
      <c r="H41" s="129" t="s">
        <v>83</v>
      </c>
      <c r="I41" s="137">
        <v>17000000</v>
      </c>
      <c r="J41" s="106">
        <v>17000000</v>
      </c>
      <c r="K41" s="602">
        <v>6651049</v>
      </c>
      <c r="L41" s="599">
        <f>+K41/J41</f>
        <v>0.39123817647058823</v>
      </c>
    </row>
    <row r="42" spans="1:12" s="90" customFormat="1" ht="19.5" customHeight="1">
      <c r="A42" s="99" t="s">
        <v>113</v>
      </c>
      <c r="B42" s="100" t="s">
        <v>170</v>
      </c>
      <c r="C42" s="106"/>
      <c r="D42" s="106"/>
      <c r="E42" s="101"/>
      <c r="F42" s="102"/>
      <c r="G42" s="99" t="s">
        <v>114</v>
      </c>
      <c r="H42" s="100" t="s">
        <v>84</v>
      </c>
      <c r="I42" s="137"/>
      <c r="J42" s="106"/>
      <c r="K42" s="601"/>
      <c r="L42" s="102"/>
    </row>
    <row r="43" spans="1:12" s="90" customFormat="1" ht="19.5" customHeight="1">
      <c r="A43" s="99" t="s">
        <v>114</v>
      </c>
      <c r="B43" s="129" t="s">
        <v>181</v>
      </c>
      <c r="C43" s="106"/>
      <c r="D43" s="106"/>
      <c r="E43" s="101"/>
      <c r="F43" s="102"/>
      <c r="G43" s="99" t="s">
        <v>115</v>
      </c>
      <c r="H43" s="129" t="s">
        <v>211</v>
      </c>
      <c r="I43" s="137"/>
      <c r="J43" s="106"/>
      <c r="K43" s="601"/>
      <c r="L43" s="102"/>
    </row>
    <row r="44" spans="1:12" s="90" customFormat="1" ht="19.5" customHeight="1">
      <c r="A44" s="112" t="s">
        <v>45</v>
      </c>
      <c r="B44" s="100" t="s">
        <v>118</v>
      </c>
      <c r="C44" s="101"/>
      <c r="D44" s="101"/>
      <c r="E44" s="101"/>
      <c r="F44" s="102"/>
      <c r="G44" s="112" t="s">
        <v>45</v>
      </c>
      <c r="H44" s="100" t="s">
        <v>130</v>
      </c>
      <c r="I44" s="135">
        <f>+I45+I46+I47</f>
        <v>1000000</v>
      </c>
      <c r="J44" s="101">
        <f>+J45+J46+J47</f>
        <v>1000000</v>
      </c>
      <c r="K44" s="601">
        <v>0</v>
      </c>
      <c r="L44" s="102">
        <f>+K44/J44</f>
        <v>0</v>
      </c>
    </row>
    <row r="45" spans="1:12" s="90" customFormat="1" ht="19.5" customHeight="1">
      <c r="A45" s="112" t="s">
        <v>111</v>
      </c>
      <c r="B45" s="129" t="s">
        <v>106</v>
      </c>
      <c r="C45" s="106"/>
      <c r="D45" s="106"/>
      <c r="E45" s="101"/>
      <c r="F45" s="102"/>
      <c r="G45" s="112" t="s">
        <v>111</v>
      </c>
      <c r="H45" s="129" t="s">
        <v>131</v>
      </c>
      <c r="I45" s="137">
        <v>1000000</v>
      </c>
      <c r="J45" s="106">
        <v>1000000</v>
      </c>
      <c r="K45" s="602">
        <v>0</v>
      </c>
      <c r="L45" s="599">
        <f>+K45/J45</f>
        <v>0</v>
      </c>
    </row>
    <row r="46" spans="1:12" s="90" customFormat="1" ht="19.5" customHeight="1">
      <c r="A46" s="112" t="s">
        <v>112</v>
      </c>
      <c r="B46" s="116" t="s">
        <v>39</v>
      </c>
      <c r="C46" s="106"/>
      <c r="D46" s="106"/>
      <c r="E46" s="101"/>
      <c r="F46" s="102"/>
      <c r="G46" s="112" t="s">
        <v>112</v>
      </c>
      <c r="H46" s="116" t="s">
        <v>87</v>
      </c>
      <c r="I46" s="137"/>
      <c r="J46" s="106"/>
      <c r="K46" s="601"/>
      <c r="L46" s="102"/>
    </row>
    <row r="47" spans="1:12" s="90" customFormat="1" ht="19.5" customHeight="1">
      <c r="A47" s="112" t="s">
        <v>113</v>
      </c>
      <c r="B47" s="129" t="s">
        <v>201</v>
      </c>
      <c r="C47" s="106"/>
      <c r="D47" s="106"/>
      <c r="E47" s="101"/>
      <c r="F47" s="102"/>
      <c r="G47" s="112" t="s">
        <v>113</v>
      </c>
      <c r="H47" s="129" t="s">
        <v>90</v>
      </c>
      <c r="I47" s="137"/>
      <c r="J47" s="106"/>
      <c r="K47" s="601"/>
      <c r="L47" s="102"/>
    </row>
    <row r="48" spans="1:12" s="90" customFormat="1" ht="19.5" customHeight="1">
      <c r="A48" s="112" t="s">
        <v>56</v>
      </c>
      <c r="B48" s="100" t="s">
        <v>126</v>
      </c>
      <c r="C48" s="101">
        <v>19000000</v>
      </c>
      <c r="D48" s="101">
        <v>19000000</v>
      </c>
      <c r="E48" s="101">
        <v>19000000</v>
      </c>
      <c r="F48" s="102">
        <v>1</v>
      </c>
      <c r="G48" s="112" t="s">
        <v>56</v>
      </c>
      <c r="H48" s="100" t="s">
        <v>132</v>
      </c>
      <c r="I48" s="135">
        <v>2000000</v>
      </c>
      <c r="J48" s="101">
        <v>2000000</v>
      </c>
      <c r="K48" s="601">
        <f>+K63+K79+K95+K111</f>
        <v>0</v>
      </c>
      <c r="L48" s="102">
        <v>0</v>
      </c>
    </row>
    <row r="49" spans="1:12" s="90" customFormat="1" ht="19.5" customHeight="1">
      <c r="A49" s="99" t="s">
        <v>64</v>
      </c>
      <c r="B49" s="116" t="s">
        <v>127</v>
      </c>
      <c r="C49" s="101">
        <v>1000000</v>
      </c>
      <c r="D49" s="101">
        <v>1000000</v>
      </c>
      <c r="E49" s="101">
        <v>1000000</v>
      </c>
      <c r="F49" s="102">
        <v>1</v>
      </c>
      <c r="G49" s="99" t="s">
        <v>64</v>
      </c>
      <c r="H49" s="116" t="s">
        <v>133</v>
      </c>
      <c r="I49" s="135"/>
      <c r="J49" s="101"/>
      <c r="K49" s="601"/>
      <c r="L49" s="102"/>
    </row>
    <row r="50" spans="1:12" s="90" customFormat="1" ht="15.75" thickBot="1">
      <c r="A50" s="117"/>
      <c r="B50" s="118" t="s">
        <v>148</v>
      </c>
      <c r="C50" s="88">
        <f>+C38+C44+C48+C49</f>
        <v>20000000</v>
      </c>
      <c r="D50" s="88">
        <f>+D38+D44+D48+D49</f>
        <v>20000000</v>
      </c>
      <c r="E50" s="88">
        <f>+E38+E44+E48+E49</f>
        <v>20000000</v>
      </c>
      <c r="F50" s="119">
        <f>+E50/D50</f>
        <v>1</v>
      </c>
      <c r="G50" s="117"/>
      <c r="H50" s="118" t="s">
        <v>149</v>
      </c>
      <c r="I50" s="604">
        <f>+I49+I48+I44+I38</f>
        <v>20000000</v>
      </c>
      <c r="J50" s="88">
        <f>+J49+J48+J44+J38</f>
        <v>20000000</v>
      </c>
      <c r="K50" s="120">
        <f>+K38+K44+K48+K49</f>
        <v>6651049</v>
      </c>
      <c r="L50" s="119">
        <f>+K50/J50</f>
        <v>0.33255245</v>
      </c>
    </row>
    <row r="51" spans="3:12" s="90" customFormat="1" ht="15">
      <c r="C51" s="93"/>
      <c r="D51" s="93"/>
      <c r="E51" s="93"/>
      <c r="F51" s="93"/>
      <c r="I51" s="93"/>
      <c r="J51" s="93"/>
      <c r="K51" s="84"/>
      <c r="L51" s="84"/>
    </row>
    <row r="52" spans="1:12" s="90" customFormat="1" ht="15.75" thickBot="1">
      <c r="A52" s="90" t="s">
        <v>952</v>
      </c>
      <c r="B52" s="91"/>
      <c r="C52" s="92"/>
      <c r="D52" s="93"/>
      <c r="G52" s="93"/>
      <c r="I52" s="93"/>
      <c r="J52" s="93"/>
      <c r="K52" s="94"/>
      <c r="L52" s="95" t="s">
        <v>216</v>
      </c>
    </row>
    <row r="53" spans="1:12" s="90" customFormat="1" ht="28.5">
      <c r="A53" s="96"/>
      <c r="B53" s="97" t="s">
        <v>104</v>
      </c>
      <c r="C53" s="86" t="s">
        <v>227</v>
      </c>
      <c r="D53" s="86" t="s">
        <v>844</v>
      </c>
      <c r="E53" s="86" t="s">
        <v>303</v>
      </c>
      <c r="F53" s="87" t="s">
        <v>304</v>
      </c>
      <c r="G53" s="98"/>
      <c r="H53" s="97" t="s">
        <v>105</v>
      </c>
      <c r="I53" s="86" t="s">
        <v>227</v>
      </c>
      <c r="J53" s="86" t="s">
        <v>844</v>
      </c>
      <c r="K53" s="605" t="s">
        <v>303</v>
      </c>
      <c r="L53" s="87" t="s">
        <v>304</v>
      </c>
    </row>
    <row r="54" spans="1:12" s="90" customFormat="1" ht="15">
      <c r="A54" s="99" t="s">
        <v>23</v>
      </c>
      <c r="B54" s="100" t="s">
        <v>108</v>
      </c>
      <c r="C54" s="101">
        <f>+C55+C57+C58+C59</f>
        <v>14992000</v>
      </c>
      <c r="D54" s="101">
        <f>+D55+D57+D58+D59</f>
        <v>14992000</v>
      </c>
      <c r="E54" s="101">
        <f>+E55+E57+E58+E59</f>
        <v>13772000</v>
      </c>
      <c r="F54" s="102">
        <f>+E54/D54</f>
        <v>0.9186232657417289</v>
      </c>
      <c r="G54" s="103" t="s">
        <v>23</v>
      </c>
      <c r="H54" s="100" t="s">
        <v>129</v>
      </c>
      <c r="I54" s="101">
        <f>+I55+I56+I57+I58+I59</f>
        <v>12696453</v>
      </c>
      <c r="J54" s="101">
        <f>+J55+J56+J57+J58+J59</f>
        <v>12696453</v>
      </c>
      <c r="K54" s="101">
        <f>+K55+K56+K57+K59</f>
        <v>12696453</v>
      </c>
      <c r="L54" s="102">
        <f>+K54/J54</f>
        <v>1</v>
      </c>
    </row>
    <row r="55" spans="1:12" s="90" customFormat="1" ht="15">
      <c r="A55" s="104" t="s">
        <v>111</v>
      </c>
      <c r="B55" s="105" t="s">
        <v>209</v>
      </c>
      <c r="C55" s="106"/>
      <c r="D55" s="106"/>
      <c r="E55" s="101"/>
      <c r="F55" s="102"/>
      <c r="G55" s="107" t="s">
        <v>111</v>
      </c>
      <c r="H55" s="108" t="s">
        <v>80</v>
      </c>
      <c r="I55" s="106">
        <f>12759149-1964827</f>
        <v>10794322</v>
      </c>
      <c r="J55" s="106">
        <v>11077300</v>
      </c>
      <c r="K55" s="101">
        <v>11077300</v>
      </c>
      <c r="L55" s="102">
        <f>+K55/J55</f>
        <v>1</v>
      </c>
    </row>
    <row r="56" spans="1:12" s="90" customFormat="1" ht="15">
      <c r="A56" s="104"/>
      <c r="B56" s="109" t="s">
        <v>210</v>
      </c>
      <c r="C56" s="106"/>
      <c r="D56" s="106"/>
      <c r="E56" s="101"/>
      <c r="F56" s="102"/>
      <c r="G56" s="107" t="s">
        <v>112</v>
      </c>
      <c r="H56" s="108" t="s">
        <v>147</v>
      </c>
      <c r="I56" s="106">
        <f>2232851-330720</f>
        <v>1902131</v>
      </c>
      <c r="J56" s="106">
        <v>1619153</v>
      </c>
      <c r="K56" s="106">
        <v>1619153</v>
      </c>
      <c r="L56" s="599">
        <f>+K56/J56</f>
        <v>1</v>
      </c>
    </row>
    <row r="57" spans="1:12" s="90" customFormat="1" ht="15">
      <c r="A57" s="104" t="s">
        <v>112</v>
      </c>
      <c r="B57" s="110" t="s">
        <v>9</v>
      </c>
      <c r="C57" s="106"/>
      <c r="D57" s="106"/>
      <c r="E57" s="101"/>
      <c r="F57" s="102"/>
      <c r="G57" s="107" t="s">
        <v>113</v>
      </c>
      <c r="H57" s="108" t="s">
        <v>83</v>
      </c>
      <c r="I57" s="106"/>
      <c r="J57" s="106"/>
      <c r="K57" s="101"/>
      <c r="L57" s="102"/>
    </row>
    <row r="58" spans="1:12" s="90" customFormat="1" ht="15">
      <c r="A58" s="104" t="s">
        <v>113</v>
      </c>
      <c r="B58" s="111" t="s">
        <v>170</v>
      </c>
      <c r="C58" s="106"/>
      <c r="D58" s="106"/>
      <c r="E58" s="101"/>
      <c r="F58" s="102"/>
      <c r="G58" s="107" t="s">
        <v>114</v>
      </c>
      <c r="H58" s="108" t="s">
        <v>84</v>
      </c>
      <c r="I58" s="106"/>
      <c r="J58" s="106"/>
      <c r="K58" s="101"/>
      <c r="L58" s="102"/>
    </row>
    <row r="59" spans="1:12" s="90" customFormat="1" ht="15">
      <c r="A59" s="104" t="s">
        <v>114</v>
      </c>
      <c r="B59" s="110" t="s">
        <v>181</v>
      </c>
      <c r="C59" s="106">
        <v>14992000</v>
      </c>
      <c r="D59" s="106">
        <v>14992000</v>
      </c>
      <c r="E59" s="106">
        <v>13772000</v>
      </c>
      <c r="F59" s="599">
        <f>E59/D59</f>
        <v>0.9186232657417289</v>
      </c>
      <c r="G59" s="107" t="s">
        <v>115</v>
      </c>
      <c r="H59" s="108" t="s">
        <v>211</v>
      </c>
      <c r="I59" s="106"/>
      <c r="J59" s="106"/>
      <c r="K59" s="101"/>
      <c r="L59" s="102"/>
    </row>
    <row r="60" spans="1:12" s="90" customFormat="1" ht="15">
      <c r="A60" s="112" t="s">
        <v>45</v>
      </c>
      <c r="B60" s="100" t="s">
        <v>118</v>
      </c>
      <c r="C60" s="101"/>
      <c r="D60" s="101"/>
      <c r="E60" s="101"/>
      <c r="F60" s="102"/>
      <c r="G60" s="113" t="s">
        <v>45</v>
      </c>
      <c r="H60" s="100" t="s">
        <v>130</v>
      </c>
      <c r="I60" s="101"/>
      <c r="J60" s="101"/>
      <c r="K60" s="101"/>
      <c r="L60" s="102"/>
    </row>
    <row r="61" spans="1:12" s="90" customFormat="1" ht="15">
      <c r="A61" s="114" t="s">
        <v>111</v>
      </c>
      <c r="B61" s="110" t="s">
        <v>106</v>
      </c>
      <c r="C61" s="106"/>
      <c r="D61" s="106"/>
      <c r="E61" s="101"/>
      <c r="F61" s="102"/>
      <c r="G61" s="115" t="s">
        <v>111</v>
      </c>
      <c r="H61" s="111" t="s">
        <v>131</v>
      </c>
      <c r="I61" s="106"/>
      <c r="J61" s="106"/>
      <c r="K61" s="101"/>
      <c r="L61" s="102"/>
    </row>
    <row r="62" spans="1:12" s="90" customFormat="1" ht="15">
      <c r="A62" s="114" t="s">
        <v>112</v>
      </c>
      <c r="B62" s="108" t="s">
        <v>39</v>
      </c>
      <c r="C62" s="106"/>
      <c r="D62" s="106"/>
      <c r="E62" s="101"/>
      <c r="F62" s="102"/>
      <c r="G62" s="115" t="s">
        <v>112</v>
      </c>
      <c r="H62" s="111" t="s">
        <v>87</v>
      </c>
      <c r="I62" s="106"/>
      <c r="J62" s="106"/>
      <c r="K62" s="101"/>
      <c r="L62" s="102"/>
    </row>
    <row r="63" spans="1:12" s="90" customFormat="1" ht="15">
      <c r="A63" s="114" t="s">
        <v>113</v>
      </c>
      <c r="B63" s="110" t="s">
        <v>201</v>
      </c>
      <c r="C63" s="106"/>
      <c r="D63" s="106"/>
      <c r="E63" s="101"/>
      <c r="F63" s="102"/>
      <c r="G63" s="115" t="s">
        <v>113</v>
      </c>
      <c r="H63" s="111" t="s">
        <v>90</v>
      </c>
      <c r="I63" s="106"/>
      <c r="J63" s="106"/>
      <c r="K63" s="101"/>
      <c r="L63" s="102"/>
    </row>
    <row r="64" spans="1:12" s="90" customFormat="1" ht="15">
      <c r="A64" s="112" t="s">
        <v>56</v>
      </c>
      <c r="B64" s="100" t="s">
        <v>126</v>
      </c>
      <c r="C64" s="101"/>
      <c r="D64" s="101"/>
      <c r="E64" s="101"/>
      <c r="F64" s="102"/>
      <c r="G64" s="113" t="s">
        <v>56</v>
      </c>
      <c r="H64" s="100" t="s">
        <v>132</v>
      </c>
      <c r="I64" s="101">
        <v>2295547</v>
      </c>
      <c r="J64" s="101">
        <v>2295547</v>
      </c>
      <c r="K64" s="101">
        <v>2295547</v>
      </c>
      <c r="L64" s="102">
        <v>1</v>
      </c>
    </row>
    <row r="65" spans="1:12" s="90" customFormat="1" ht="15">
      <c r="A65" s="99" t="s">
        <v>64</v>
      </c>
      <c r="B65" s="116" t="s">
        <v>127</v>
      </c>
      <c r="C65" s="101"/>
      <c r="D65" s="101"/>
      <c r="E65" s="101"/>
      <c r="F65" s="102"/>
      <c r="G65" s="103" t="s">
        <v>64</v>
      </c>
      <c r="H65" s="116" t="s">
        <v>133</v>
      </c>
      <c r="I65" s="101"/>
      <c r="J65" s="101"/>
      <c r="K65" s="101"/>
      <c r="L65" s="102"/>
    </row>
    <row r="66" spans="1:12" s="90" customFormat="1" ht="15.75" thickBot="1">
      <c r="A66" s="117"/>
      <c r="B66" s="118" t="s">
        <v>148</v>
      </c>
      <c r="C66" s="88">
        <f>+C54+C60+C64+C65</f>
        <v>14992000</v>
      </c>
      <c r="D66" s="88">
        <f>+D54+D60+D64+D65</f>
        <v>14992000</v>
      </c>
      <c r="E66" s="88">
        <f>+E54+E60+E64+E65</f>
        <v>13772000</v>
      </c>
      <c r="F66" s="119">
        <f>+E66/D66</f>
        <v>0.9186232657417289</v>
      </c>
      <c r="G66" s="118"/>
      <c r="H66" s="118" t="s">
        <v>149</v>
      </c>
      <c r="I66" s="88">
        <f>+I65+I64+I60+I54</f>
        <v>14992000</v>
      </c>
      <c r="J66" s="120">
        <f>+J65+J64+J60+J54</f>
        <v>14992000</v>
      </c>
      <c r="K66" s="88">
        <f>+K54+K60+K64+K65</f>
        <v>14992000</v>
      </c>
      <c r="L66" s="119">
        <f>+K66/J66</f>
        <v>1</v>
      </c>
    </row>
    <row r="67" spans="3:12" s="90" customFormat="1" ht="15">
      <c r="C67" s="93"/>
      <c r="D67" s="93"/>
      <c r="E67" s="93"/>
      <c r="F67" s="93"/>
      <c r="I67" s="93"/>
      <c r="J67" s="93"/>
      <c r="K67" s="121"/>
      <c r="L67" s="121"/>
    </row>
    <row r="68" spans="1:12" s="90" customFormat="1" ht="15.75" thickBot="1">
      <c r="A68" s="90" t="s">
        <v>848</v>
      </c>
      <c r="B68" s="91"/>
      <c r="C68" s="92"/>
      <c r="D68" s="93"/>
      <c r="G68" s="93"/>
      <c r="I68" s="93"/>
      <c r="J68" s="609"/>
      <c r="K68" s="94"/>
      <c r="L68" s="95" t="s">
        <v>216</v>
      </c>
    </row>
    <row r="69" spans="1:12" s="90" customFormat="1" ht="28.5">
      <c r="A69" s="96"/>
      <c r="B69" s="97" t="s">
        <v>104</v>
      </c>
      <c r="C69" s="86" t="s">
        <v>227</v>
      </c>
      <c r="D69" s="86" t="s">
        <v>844</v>
      </c>
      <c r="E69" s="86" t="s">
        <v>303</v>
      </c>
      <c r="F69" s="87" t="s">
        <v>304</v>
      </c>
      <c r="G69" s="98"/>
      <c r="H69" s="97" t="s">
        <v>105</v>
      </c>
      <c r="I69" s="606" t="s">
        <v>227</v>
      </c>
      <c r="J69" s="607" t="s">
        <v>844</v>
      </c>
      <c r="K69" s="605" t="s">
        <v>303</v>
      </c>
      <c r="L69" s="87" t="s">
        <v>304</v>
      </c>
    </row>
    <row r="70" spans="1:12" s="90" customFormat="1" ht="15">
      <c r="A70" s="99" t="s">
        <v>23</v>
      </c>
      <c r="B70" s="100" t="s">
        <v>108</v>
      </c>
      <c r="C70" s="101">
        <f>+C71+C73+C74+C75</f>
        <v>14820000</v>
      </c>
      <c r="D70" s="101">
        <f>+D71+D73+D74+D75</f>
        <v>14820000</v>
      </c>
      <c r="E70" s="101">
        <f>+E71+E73+E74+E75</f>
        <v>14820000</v>
      </c>
      <c r="F70" s="102">
        <f>+E70/D70</f>
        <v>1</v>
      </c>
      <c r="G70" s="103" t="s">
        <v>23</v>
      </c>
      <c r="H70" s="100" t="s">
        <v>129</v>
      </c>
      <c r="I70" s="135">
        <f>+I71+I72+I73+I74+I75</f>
        <v>14820000</v>
      </c>
      <c r="J70" s="101">
        <f>+J71+J72+J73+J74+J75</f>
        <v>14820000</v>
      </c>
      <c r="K70" s="601">
        <f>+K71+K72+K73+K75</f>
        <v>0</v>
      </c>
      <c r="L70" s="102">
        <f>+K70/J70</f>
        <v>0</v>
      </c>
    </row>
    <row r="71" spans="1:12" s="90" customFormat="1" ht="15">
      <c r="A71" s="104" t="s">
        <v>111</v>
      </c>
      <c r="B71" s="105" t="s">
        <v>209</v>
      </c>
      <c r="C71" s="106">
        <f>+C72</f>
        <v>14820000</v>
      </c>
      <c r="D71" s="106">
        <f>+D72</f>
        <v>14820000</v>
      </c>
      <c r="E71" s="106">
        <f>+E72</f>
        <v>14820000</v>
      </c>
      <c r="F71" s="599">
        <f>+E71/D71</f>
        <v>1</v>
      </c>
      <c r="G71" s="107" t="s">
        <v>111</v>
      </c>
      <c r="H71" s="108" t="s">
        <v>80</v>
      </c>
      <c r="I71" s="137">
        <v>12831168</v>
      </c>
      <c r="J71" s="106">
        <v>12831168</v>
      </c>
      <c r="K71" s="602">
        <v>0</v>
      </c>
      <c r="L71" s="599">
        <f>+K71/J71</f>
        <v>0</v>
      </c>
    </row>
    <row r="72" spans="1:12" s="90" customFormat="1" ht="15">
      <c r="A72" s="104"/>
      <c r="B72" s="109" t="s">
        <v>210</v>
      </c>
      <c r="C72" s="106">
        <v>14820000</v>
      </c>
      <c r="D72" s="106">
        <v>14820000</v>
      </c>
      <c r="E72" s="106">
        <v>14820000</v>
      </c>
      <c r="F72" s="599">
        <f>+E72/D72</f>
        <v>1</v>
      </c>
      <c r="G72" s="107" t="s">
        <v>112</v>
      </c>
      <c r="H72" s="108" t="s">
        <v>147</v>
      </c>
      <c r="I72" s="137">
        <v>1988832</v>
      </c>
      <c r="J72" s="106">
        <v>1988832</v>
      </c>
      <c r="K72" s="602">
        <v>0</v>
      </c>
      <c r="L72" s="599">
        <f>+K72/J72</f>
        <v>0</v>
      </c>
    </row>
    <row r="73" spans="1:12" s="90" customFormat="1" ht="15">
      <c r="A73" s="104" t="s">
        <v>112</v>
      </c>
      <c r="B73" s="110" t="s">
        <v>9</v>
      </c>
      <c r="C73" s="106"/>
      <c r="D73" s="106"/>
      <c r="E73" s="101"/>
      <c r="F73" s="102"/>
      <c r="G73" s="107" t="s">
        <v>113</v>
      </c>
      <c r="H73" s="108" t="s">
        <v>83</v>
      </c>
      <c r="I73" s="137"/>
      <c r="J73" s="106"/>
      <c r="K73" s="601"/>
      <c r="L73" s="102"/>
    </row>
    <row r="74" spans="1:12" s="90" customFormat="1" ht="15">
      <c r="A74" s="104" t="s">
        <v>113</v>
      </c>
      <c r="B74" s="111" t="s">
        <v>170</v>
      </c>
      <c r="C74" s="106"/>
      <c r="D74" s="106"/>
      <c r="E74" s="101"/>
      <c r="F74" s="102"/>
      <c r="G74" s="107" t="s">
        <v>114</v>
      </c>
      <c r="H74" s="108" t="s">
        <v>84</v>
      </c>
      <c r="I74" s="137"/>
      <c r="J74" s="106"/>
      <c r="K74" s="601"/>
      <c r="L74" s="102"/>
    </row>
    <row r="75" spans="1:12" s="90" customFormat="1" ht="15">
      <c r="A75" s="104" t="s">
        <v>114</v>
      </c>
      <c r="B75" s="110" t="s">
        <v>181</v>
      </c>
      <c r="C75" s="106"/>
      <c r="D75" s="106"/>
      <c r="E75" s="101"/>
      <c r="F75" s="102"/>
      <c r="G75" s="107" t="s">
        <v>115</v>
      </c>
      <c r="H75" s="108" t="s">
        <v>211</v>
      </c>
      <c r="I75" s="137"/>
      <c r="J75" s="106"/>
      <c r="K75" s="601"/>
      <c r="L75" s="102"/>
    </row>
    <row r="76" spans="1:12" s="90" customFormat="1" ht="15">
      <c r="A76" s="112" t="s">
        <v>45</v>
      </c>
      <c r="B76" s="100" t="s">
        <v>118</v>
      </c>
      <c r="C76" s="101"/>
      <c r="D76" s="101"/>
      <c r="E76" s="101"/>
      <c r="F76" s="102"/>
      <c r="G76" s="113" t="s">
        <v>45</v>
      </c>
      <c r="H76" s="100" t="s">
        <v>130</v>
      </c>
      <c r="I76" s="135"/>
      <c r="J76" s="101"/>
      <c r="K76" s="601"/>
      <c r="L76" s="102"/>
    </row>
    <row r="77" spans="1:12" s="90" customFormat="1" ht="15">
      <c r="A77" s="114" t="s">
        <v>111</v>
      </c>
      <c r="B77" s="110" t="s">
        <v>106</v>
      </c>
      <c r="C77" s="106"/>
      <c r="D77" s="106"/>
      <c r="E77" s="101"/>
      <c r="F77" s="102"/>
      <c r="G77" s="115" t="s">
        <v>111</v>
      </c>
      <c r="H77" s="111" t="s">
        <v>131</v>
      </c>
      <c r="I77" s="137"/>
      <c r="J77" s="106"/>
      <c r="K77" s="601"/>
      <c r="L77" s="102"/>
    </row>
    <row r="78" spans="1:12" s="90" customFormat="1" ht="15">
      <c r="A78" s="114" t="s">
        <v>112</v>
      </c>
      <c r="B78" s="108" t="s">
        <v>39</v>
      </c>
      <c r="C78" s="106"/>
      <c r="D78" s="106"/>
      <c r="E78" s="101"/>
      <c r="F78" s="102"/>
      <c r="G78" s="115" t="s">
        <v>112</v>
      </c>
      <c r="H78" s="111" t="s">
        <v>87</v>
      </c>
      <c r="I78" s="137"/>
      <c r="J78" s="106"/>
      <c r="K78" s="601"/>
      <c r="L78" s="102"/>
    </row>
    <row r="79" spans="1:12" s="90" customFormat="1" ht="15">
      <c r="A79" s="114" t="s">
        <v>113</v>
      </c>
      <c r="B79" s="110" t="s">
        <v>201</v>
      </c>
      <c r="C79" s="106"/>
      <c r="D79" s="106"/>
      <c r="E79" s="101"/>
      <c r="F79" s="102"/>
      <c r="G79" s="115" t="s">
        <v>113</v>
      </c>
      <c r="H79" s="111" t="s">
        <v>90</v>
      </c>
      <c r="I79" s="137"/>
      <c r="J79" s="106"/>
      <c r="K79" s="601"/>
      <c r="L79" s="102"/>
    </row>
    <row r="80" spans="1:12" s="90" customFormat="1" ht="15">
      <c r="A80" s="112" t="s">
        <v>56</v>
      </c>
      <c r="B80" s="100" t="s">
        <v>126</v>
      </c>
      <c r="C80" s="101"/>
      <c r="D80" s="101"/>
      <c r="E80" s="101"/>
      <c r="F80" s="102"/>
      <c r="G80" s="113" t="s">
        <v>56</v>
      </c>
      <c r="H80" s="100" t="s">
        <v>132</v>
      </c>
      <c r="I80" s="135"/>
      <c r="J80" s="101"/>
      <c r="K80" s="601"/>
      <c r="L80" s="102"/>
    </row>
    <row r="81" spans="1:12" s="90" customFormat="1" ht="15">
      <c r="A81" s="99" t="s">
        <v>64</v>
      </c>
      <c r="B81" s="116" t="s">
        <v>127</v>
      </c>
      <c r="C81" s="101"/>
      <c r="D81" s="101"/>
      <c r="E81" s="101"/>
      <c r="F81" s="102"/>
      <c r="G81" s="103" t="s">
        <v>64</v>
      </c>
      <c r="H81" s="116" t="s">
        <v>133</v>
      </c>
      <c r="I81" s="135"/>
      <c r="J81" s="101"/>
      <c r="K81" s="601"/>
      <c r="L81" s="102"/>
    </row>
    <row r="82" spans="1:12" s="90" customFormat="1" ht="15.75" thickBot="1">
      <c r="A82" s="117"/>
      <c r="B82" s="118" t="s">
        <v>148</v>
      </c>
      <c r="C82" s="88">
        <f>+C70+C76+C80+C81</f>
        <v>14820000</v>
      </c>
      <c r="D82" s="88">
        <f>+D70+D76+D80+D81</f>
        <v>14820000</v>
      </c>
      <c r="E82" s="88">
        <f>+E70+E76+E80+E81</f>
        <v>14820000</v>
      </c>
      <c r="F82" s="119">
        <f>+E82/D82</f>
        <v>1</v>
      </c>
      <c r="G82" s="118"/>
      <c r="H82" s="118" t="s">
        <v>149</v>
      </c>
      <c r="I82" s="139">
        <f>+I81+I80+I76+I70</f>
        <v>14820000</v>
      </c>
      <c r="J82" s="88">
        <f>+J81+J80+J76+J70</f>
        <v>14820000</v>
      </c>
      <c r="K82" s="120">
        <f>+K70+K76+K80+K81</f>
        <v>0</v>
      </c>
      <c r="L82" s="119">
        <f>+K82/J82</f>
        <v>0</v>
      </c>
    </row>
    <row r="83" spans="3:12" s="90" customFormat="1" ht="15">
      <c r="C83" s="93"/>
      <c r="D83" s="93"/>
      <c r="E83" s="93"/>
      <c r="F83" s="93"/>
      <c r="I83" s="93"/>
      <c r="J83" s="93"/>
      <c r="K83" s="121"/>
      <c r="L83" s="121"/>
    </row>
    <row r="84" spans="1:12" s="90" customFormat="1" ht="15.75" thickBot="1">
      <c r="A84" s="90" t="s">
        <v>849</v>
      </c>
      <c r="C84" s="92"/>
      <c r="D84" s="93"/>
      <c r="E84" s="93"/>
      <c r="F84" s="93"/>
      <c r="I84" s="93"/>
      <c r="J84" s="608"/>
      <c r="K84" s="94"/>
      <c r="L84" s="95" t="s">
        <v>216</v>
      </c>
    </row>
    <row r="85" spans="1:12" s="90" customFormat="1" ht="28.5">
      <c r="A85" s="96"/>
      <c r="B85" s="97" t="s">
        <v>104</v>
      </c>
      <c r="C85" s="86" t="s">
        <v>227</v>
      </c>
      <c r="D85" s="86" t="s">
        <v>844</v>
      </c>
      <c r="E85" s="86" t="s">
        <v>303</v>
      </c>
      <c r="F85" s="87" t="s">
        <v>304</v>
      </c>
      <c r="G85" s="98"/>
      <c r="H85" s="97" t="s">
        <v>105</v>
      </c>
      <c r="I85" s="606" t="s">
        <v>227</v>
      </c>
      <c r="J85" s="607" t="s">
        <v>844</v>
      </c>
      <c r="K85" s="605" t="s">
        <v>303</v>
      </c>
      <c r="L85" s="87" t="s">
        <v>304</v>
      </c>
    </row>
    <row r="86" spans="1:12" s="90" customFormat="1" ht="15">
      <c r="A86" s="99" t="s">
        <v>23</v>
      </c>
      <c r="B86" s="100" t="s">
        <v>108</v>
      </c>
      <c r="C86" s="101">
        <f>+C87+C89+C90+C91</f>
        <v>0</v>
      </c>
      <c r="D86" s="101">
        <f>+D87+D89+D90+D91</f>
        <v>4000000</v>
      </c>
      <c r="E86" s="101">
        <f>+E87+E89+E90+E91</f>
        <v>4000000</v>
      </c>
      <c r="F86" s="102">
        <f>+E86/D86</f>
        <v>1</v>
      </c>
      <c r="G86" s="103" t="s">
        <v>23</v>
      </c>
      <c r="H86" s="100" t="s">
        <v>129</v>
      </c>
      <c r="I86" s="135">
        <f>+I87+I88+I89+I90+I91</f>
        <v>0</v>
      </c>
      <c r="J86" s="101">
        <f>+J87+J88+J89+J90+J91</f>
        <v>4000000</v>
      </c>
      <c r="K86" s="601">
        <f>+K87+K88+K89+K91</f>
        <v>0</v>
      </c>
      <c r="L86" s="102">
        <f>+K86/J86</f>
        <v>0</v>
      </c>
    </row>
    <row r="87" spans="1:12" s="90" customFormat="1" ht="15">
      <c r="A87" s="104" t="s">
        <v>111</v>
      </c>
      <c r="B87" s="105" t="s">
        <v>209</v>
      </c>
      <c r="C87" s="106">
        <f>+C88</f>
        <v>0</v>
      </c>
      <c r="D87" s="106">
        <f>+D88</f>
        <v>4000000</v>
      </c>
      <c r="E87" s="106">
        <f>+E88</f>
        <v>4000000</v>
      </c>
      <c r="F87" s="599">
        <f>+E87/D87</f>
        <v>1</v>
      </c>
      <c r="G87" s="107" t="s">
        <v>111</v>
      </c>
      <c r="H87" s="108" t="s">
        <v>80</v>
      </c>
      <c r="I87" s="137"/>
      <c r="J87" s="106"/>
      <c r="K87" s="601"/>
      <c r="L87" s="102"/>
    </row>
    <row r="88" spans="1:12" s="90" customFormat="1" ht="15">
      <c r="A88" s="104"/>
      <c r="B88" s="109" t="s">
        <v>210</v>
      </c>
      <c r="C88" s="106">
        <v>0</v>
      </c>
      <c r="D88" s="106">
        <v>4000000</v>
      </c>
      <c r="E88" s="106">
        <v>4000000</v>
      </c>
      <c r="F88" s="599">
        <f>+E88/D88</f>
        <v>1</v>
      </c>
      <c r="G88" s="107" t="s">
        <v>112</v>
      </c>
      <c r="H88" s="108" t="s">
        <v>147</v>
      </c>
      <c r="I88" s="137"/>
      <c r="J88" s="106"/>
      <c r="K88" s="601"/>
      <c r="L88" s="102"/>
    </row>
    <row r="89" spans="1:12" s="90" customFormat="1" ht="15">
      <c r="A89" s="104" t="s">
        <v>112</v>
      </c>
      <c r="B89" s="110" t="s">
        <v>9</v>
      </c>
      <c r="C89" s="106"/>
      <c r="D89" s="106"/>
      <c r="E89" s="101"/>
      <c r="F89" s="102"/>
      <c r="G89" s="107" t="s">
        <v>113</v>
      </c>
      <c r="H89" s="108" t="s">
        <v>83</v>
      </c>
      <c r="I89" s="137">
        <v>0</v>
      </c>
      <c r="J89" s="106">
        <v>4000000</v>
      </c>
      <c r="K89" s="602">
        <v>0</v>
      </c>
      <c r="L89" s="599">
        <f>+K89/J89+IF(L89=0/0,0%)</f>
        <v>0</v>
      </c>
    </row>
    <row r="90" spans="1:12" s="90" customFormat="1" ht="15">
      <c r="A90" s="104" t="s">
        <v>113</v>
      </c>
      <c r="B90" s="111" t="s">
        <v>170</v>
      </c>
      <c r="C90" s="106"/>
      <c r="D90" s="106"/>
      <c r="E90" s="101"/>
      <c r="F90" s="102"/>
      <c r="G90" s="107" t="s">
        <v>114</v>
      </c>
      <c r="H90" s="108" t="s">
        <v>84</v>
      </c>
      <c r="I90" s="137"/>
      <c r="J90" s="106"/>
      <c r="K90" s="601"/>
      <c r="L90" s="102"/>
    </row>
    <row r="91" spans="1:12" s="90" customFormat="1" ht="15">
      <c r="A91" s="104" t="s">
        <v>114</v>
      </c>
      <c r="B91" s="110" t="s">
        <v>181</v>
      </c>
      <c r="C91" s="106"/>
      <c r="D91" s="106"/>
      <c r="E91" s="101"/>
      <c r="F91" s="102"/>
      <c r="G91" s="107" t="s">
        <v>115</v>
      </c>
      <c r="H91" s="108" t="s">
        <v>211</v>
      </c>
      <c r="I91" s="137"/>
      <c r="J91" s="106"/>
      <c r="K91" s="601"/>
      <c r="L91" s="102"/>
    </row>
    <row r="92" spans="1:12" s="90" customFormat="1" ht="15">
      <c r="A92" s="112" t="s">
        <v>45</v>
      </c>
      <c r="B92" s="100" t="s">
        <v>118</v>
      </c>
      <c r="C92" s="101"/>
      <c r="D92" s="101"/>
      <c r="E92" s="101"/>
      <c r="F92" s="102"/>
      <c r="G92" s="113" t="s">
        <v>45</v>
      </c>
      <c r="H92" s="100" t="s">
        <v>130</v>
      </c>
      <c r="I92" s="135"/>
      <c r="J92" s="101"/>
      <c r="K92" s="601"/>
      <c r="L92" s="102"/>
    </row>
    <row r="93" spans="1:12" s="90" customFormat="1" ht="15">
      <c r="A93" s="114" t="s">
        <v>111</v>
      </c>
      <c r="B93" s="110" t="s">
        <v>106</v>
      </c>
      <c r="C93" s="106"/>
      <c r="D93" s="106"/>
      <c r="E93" s="101"/>
      <c r="F93" s="102"/>
      <c r="G93" s="115" t="s">
        <v>111</v>
      </c>
      <c r="H93" s="111" t="s">
        <v>131</v>
      </c>
      <c r="I93" s="137"/>
      <c r="J93" s="106"/>
      <c r="K93" s="601"/>
      <c r="L93" s="102"/>
    </row>
    <row r="94" spans="1:12" s="90" customFormat="1" ht="15">
      <c r="A94" s="114" t="s">
        <v>112</v>
      </c>
      <c r="B94" s="108" t="s">
        <v>39</v>
      </c>
      <c r="C94" s="106"/>
      <c r="D94" s="106"/>
      <c r="E94" s="101"/>
      <c r="F94" s="102"/>
      <c r="G94" s="115" t="s">
        <v>112</v>
      </c>
      <c r="H94" s="111" t="s">
        <v>87</v>
      </c>
      <c r="I94" s="137"/>
      <c r="J94" s="106"/>
      <c r="K94" s="601"/>
      <c r="L94" s="102"/>
    </row>
    <row r="95" spans="1:12" s="90" customFormat="1" ht="15">
      <c r="A95" s="114" t="s">
        <v>113</v>
      </c>
      <c r="B95" s="110" t="s">
        <v>201</v>
      </c>
      <c r="C95" s="106"/>
      <c r="D95" s="106"/>
      <c r="E95" s="101"/>
      <c r="F95" s="102"/>
      <c r="G95" s="115" t="s">
        <v>113</v>
      </c>
      <c r="H95" s="111" t="s">
        <v>90</v>
      </c>
      <c r="I95" s="137"/>
      <c r="J95" s="106"/>
      <c r="K95" s="601"/>
      <c r="L95" s="102"/>
    </row>
    <row r="96" spans="1:12" s="90" customFormat="1" ht="15">
      <c r="A96" s="112" t="s">
        <v>56</v>
      </c>
      <c r="B96" s="100" t="s">
        <v>126</v>
      </c>
      <c r="C96" s="101"/>
      <c r="D96" s="101"/>
      <c r="E96" s="101"/>
      <c r="F96" s="102"/>
      <c r="G96" s="113" t="s">
        <v>56</v>
      </c>
      <c r="H96" s="100" t="s">
        <v>132</v>
      </c>
      <c r="I96" s="135"/>
      <c r="J96" s="101"/>
      <c r="K96" s="601"/>
      <c r="L96" s="102"/>
    </row>
    <row r="97" spans="1:12" s="90" customFormat="1" ht="15">
      <c r="A97" s="99" t="s">
        <v>64</v>
      </c>
      <c r="B97" s="116" t="s">
        <v>127</v>
      </c>
      <c r="C97" s="101"/>
      <c r="D97" s="101"/>
      <c r="E97" s="101"/>
      <c r="F97" s="102"/>
      <c r="G97" s="103" t="s">
        <v>64</v>
      </c>
      <c r="H97" s="116" t="s">
        <v>133</v>
      </c>
      <c r="I97" s="135"/>
      <c r="J97" s="101"/>
      <c r="K97" s="601"/>
      <c r="L97" s="102"/>
    </row>
    <row r="98" spans="1:12" s="90" customFormat="1" ht="15.75" thickBot="1">
      <c r="A98" s="117"/>
      <c r="B98" s="118" t="s">
        <v>148</v>
      </c>
      <c r="C98" s="88">
        <f>+C86+C92+C96+C97</f>
        <v>0</v>
      </c>
      <c r="D98" s="88">
        <f>+D86+D92+D96+D97</f>
        <v>4000000</v>
      </c>
      <c r="E98" s="88">
        <f>+E86+E92+E96+E97</f>
        <v>4000000</v>
      </c>
      <c r="F98" s="119">
        <f>+E98/D98</f>
        <v>1</v>
      </c>
      <c r="G98" s="118"/>
      <c r="H98" s="118" t="s">
        <v>149</v>
      </c>
      <c r="I98" s="604">
        <f>+I97+I96+I92+I86</f>
        <v>0</v>
      </c>
      <c r="J98" s="88">
        <f>+J97+J96+J92+J86</f>
        <v>4000000</v>
      </c>
      <c r="K98" s="120">
        <f>+K86+K92+K96+K97</f>
        <v>0</v>
      </c>
      <c r="L98" s="119">
        <f>+K98/J98</f>
        <v>0</v>
      </c>
    </row>
    <row r="99" spans="3:12" s="90" customFormat="1" ht="15">
      <c r="C99" s="93"/>
      <c r="D99" s="93"/>
      <c r="E99" s="93"/>
      <c r="F99" s="93"/>
      <c r="I99" s="93"/>
      <c r="J99" s="93"/>
      <c r="K99" s="121"/>
      <c r="L99" s="121"/>
    </row>
    <row r="100" spans="1:12" s="90" customFormat="1" ht="15.75" thickBot="1">
      <c r="A100" s="90" t="s">
        <v>850</v>
      </c>
      <c r="C100" s="92"/>
      <c r="D100" s="93"/>
      <c r="E100" s="93"/>
      <c r="F100" s="93"/>
      <c r="I100" s="93"/>
      <c r="J100" s="608"/>
      <c r="K100" s="94"/>
      <c r="L100" s="95" t="s">
        <v>216</v>
      </c>
    </row>
    <row r="101" spans="1:12" s="90" customFormat="1" ht="28.5">
      <c r="A101" s="96"/>
      <c r="B101" s="97" t="s">
        <v>104</v>
      </c>
      <c r="C101" s="86" t="s">
        <v>227</v>
      </c>
      <c r="D101" s="86" t="s">
        <v>844</v>
      </c>
      <c r="E101" s="86" t="s">
        <v>303</v>
      </c>
      <c r="F101" s="87" t="s">
        <v>304</v>
      </c>
      <c r="G101" s="98"/>
      <c r="H101" s="97" t="s">
        <v>105</v>
      </c>
      <c r="I101" s="606" t="s">
        <v>227</v>
      </c>
      <c r="J101" s="607" t="s">
        <v>844</v>
      </c>
      <c r="K101" s="605" t="s">
        <v>303</v>
      </c>
      <c r="L101" s="87" t="s">
        <v>304</v>
      </c>
    </row>
    <row r="102" spans="1:12" s="90" customFormat="1" ht="15">
      <c r="A102" s="99" t="s">
        <v>23</v>
      </c>
      <c r="B102" s="100" t="s">
        <v>108</v>
      </c>
      <c r="C102" s="101">
        <f>+C103+C105+C106+C107</f>
        <v>0</v>
      </c>
      <c r="D102" s="101">
        <f>+D103+D105+D106+D107</f>
        <v>2300000</v>
      </c>
      <c r="E102" s="101">
        <f>+E103+E105+E106+E107</f>
        <v>2300000</v>
      </c>
      <c r="F102" s="102">
        <f>+E102/D102</f>
        <v>1</v>
      </c>
      <c r="G102" s="103" t="s">
        <v>23</v>
      </c>
      <c r="H102" s="100" t="s">
        <v>129</v>
      </c>
      <c r="I102" s="135">
        <f>+I103+I104+I105+I106+I107</f>
        <v>0</v>
      </c>
      <c r="J102" s="101">
        <f>+J103+J104+J105+J106+J107</f>
        <v>2300000</v>
      </c>
      <c r="K102" s="601">
        <f>+K103+K104+K105+K107</f>
        <v>0</v>
      </c>
      <c r="L102" s="102">
        <f>+K102/J102</f>
        <v>0</v>
      </c>
    </row>
    <row r="103" spans="1:12" s="90" customFormat="1" ht="15">
      <c r="A103" s="104" t="s">
        <v>111</v>
      </c>
      <c r="B103" s="105" t="s">
        <v>209</v>
      </c>
      <c r="C103" s="106">
        <f>+C104</f>
        <v>0</v>
      </c>
      <c r="D103" s="106">
        <f>+D104</f>
        <v>2300000</v>
      </c>
      <c r="E103" s="106">
        <f>+E104</f>
        <v>2300000</v>
      </c>
      <c r="F103" s="599">
        <f>+E103/D103</f>
        <v>1</v>
      </c>
      <c r="G103" s="107" t="s">
        <v>111</v>
      </c>
      <c r="H103" s="108" t="s">
        <v>80</v>
      </c>
      <c r="I103" s="137">
        <v>0</v>
      </c>
      <c r="J103" s="106">
        <v>950000</v>
      </c>
      <c r="K103" s="602">
        <v>0</v>
      </c>
      <c r="L103" s="599">
        <f>+K103/J103</f>
        <v>0</v>
      </c>
    </row>
    <row r="104" spans="1:12" s="90" customFormat="1" ht="15">
      <c r="A104" s="104"/>
      <c r="B104" s="109" t="s">
        <v>210</v>
      </c>
      <c r="C104" s="106">
        <v>0</v>
      </c>
      <c r="D104" s="106">
        <v>2300000</v>
      </c>
      <c r="E104" s="106">
        <v>2300000</v>
      </c>
      <c r="F104" s="599">
        <f>+E104/D104</f>
        <v>1</v>
      </c>
      <c r="G104" s="107" t="s">
        <v>112</v>
      </c>
      <c r="H104" s="108" t="s">
        <v>147</v>
      </c>
      <c r="I104" s="137">
        <v>0</v>
      </c>
      <c r="J104" s="106">
        <v>132525</v>
      </c>
      <c r="K104" s="602">
        <v>0</v>
      </c>
      <c r="L104" s="599">
        <f>+K104/J104</f>
        <v>0</v>
      </c>
    </row>
    <row r="105" spans="1:12" s="90" customFormat="1" ht="15">
      <c r="A105" s="104" t="s">
        <v>112</v>
      </c>
      <c r="B105" s="110" t="s">
        <v>9</v>
      </c>
      <c r="C105" s="106"/>
      <c r="D105" s="106"/>
      <c r="E105" s="101"/>
      <c r="F105" s="102"/>
      <c r="G105" s="107" t="s">
        <v>113</v>
      </c>
      <c r="H105" s="108" t="s">
        <v>83</v>
      </c>
      <c r="I105" s="137">
        <v>0</v>
      </c>
      <c r="J105" s="106">
        <v>1217475</v>
      </c>
      <c r="K105" s="602">
        <v>0</v>
      </c>
      <c r="L105" s="599">
        <f>+K105/J105+IF(L105=0/0,0%)</f>
        <v>0</v>
      </c>
    </row>
    <row r="106" spans="1:12" s="90" customFormat="1" ht="15">
      <c r="A106" s="104" t="s">
        <v>113</v>
      </c>
      <c r="B106" s="111" t="s">
        <v>170</v>
      </c>
      <c r="C106" s="106"/>
      <c r="D106" s="106"/>
      <c r="E106" s="101"/>
      <c r="F106" s="102"/>
      <c r="G106" s="107" t="s">
        <v>114</v>
      </c>
      <c r="H106" s="108" t="s">
        <v>84</v>
      </c>
      <c r="I106" s="137"/>
      <c r="J106" s="106"/>
      <c r="K106" s="601"/>
      <c r="L106" s="102"/>
    </row>
    <row r="107" spans="1:12" s="90" customFormat="1" ht="15">
      <c r="A107" s="104" t="s">
        <v>114</v>
      </c>
      <c r="B107" s="110" t="s">
        <v>181</v>
      </c>
      <c r="C107" s="106"/>
      <c r="D107" s="106"/>
      <c r="E107" s="101"/>
      <c r="F107" s="102"/>
      <c r="G107" s="107" t="s">
        <v>115</v>
      </c>
      <c r="H107" s="108" t="s">
        <v>211</v>
      </c>
      <c r="I107" s="137"/>
      <c r="J107" s="106"/>
      <c r="K107" s="601"/>
      <c r="L107" s="102"/>
    </row>
    <row r="108" spans="1:12" s="90" customFormat="1" ht="15">
      <c r="A108" s="112" t="s">
        <v>45</v>
      </c>
      <c r="B108" s="100" t="s">
        <v>118</v>
      </c>
      <c r="C108" s="101"/>
      <c r="D108" s="101"/>
      <c r="E108" s="101"/>
      <c r="F108" s="102"/>
      <c r="G108" s="113" t="s">
        <v>45</v>
      </c>
      <c r="H108" s="100" t="s">
        <v>130</v>
      </c>
      <c r="I108" s="135"/>
      <c r="J108" s="101"/>
      <c r="K108" s="601"/>
      <c r="L108" s="102"/>
    </row>
    <row r="109" spans="1:12" s="90" customFormat="1" ht="15">
      <c r="A109" s="114" t="s">
        <v>111</v>
      </c>
      <c r="B109" s="110" t="s">
        <v>106</v>
      </c>
      <c r="C109" s="106"/>
      <c r="D109" s="106"/>
      <c r="E109" s="101"/>
      <c r="F109" s="102"/>
      <c r="G109" s="115" t="s">
        <v>111</v>
      </c>
      <c r="H109" s="111" t="s">
        <v>131</v>
      </c>
      <c r="I109" s="137"/>
      <c r="J109" s="106"/>
      <c r="K109" s="601"/>
      <c r="L109" s="102"/>
    </row>
    <row r="110" spans="1:12" s="90" customFormat="1" ht="15">
      <c r="A110" s="114" t="s">
        <v>112</v>
      </c>
      <c r="B110" s="108" t="s">
        <v>39</v>
      </c>
      <c r="C110" s="106"/>
      <c r="D110" s="106"/>
      <c r="E110" s="101"/>
      <c r="F110" s="102"/>
      <c r="G110" s="115" t="s">
        <v>112</v>
      </c>
      <c r="H110" s="111" t="s">
        <v>87</v>
      </c>
      <c r="I110" s="137"/>
      <c r="J110" s="106"/>
      <c r="K110" s="601"/>
      <c r="L110" s="102"/>
    </row>
    <row r="111" spans="1:12" s="90" customFormat="1" ht="15">
      <c r="A111" s="114" t="s">
        <v>113</v>
      </c>
      <c r="B111" s="110" t="s">
        <v>201</v>
      </c>
      <c r="C111" s="106"/>
      <c r="D111" s="106"/>
      <c r="E111" s="101"/>
      <c r="F111" s="102"/>
      <c r="G111" s="115" t="s">
        <v>113</v>
      </c>
      <c r="H111" s="111" t="s">
        <v>90</v>
      </c>
      <c r="I111" s="137"/>
      <c r="J111" s="106"/>
      <c r="K111" s="601"/>
      <c r="L111" s="102"/>
    </row>
    <row r="112" spans="1:12" s="90" customFormat="1" ht="15">
      <c r="A112" s="112" t="s">
        <v>56</v>
      </c>
      <c r="B112" s="100" t="s">
        <v>126</v>
      </c>
      <c r="C112" s="101"/>
      <c r="D112" s="101"/>
      <c r="E112" s="101"/>
      <c r="F112" s="102"/>
      <c r="G112" s="113" t="s">
        <v>56</v>
      </c>
      <c r="H112" s="100" t="s">
        <v>132</v>
      </c>
      <c r="I112" s="135"/>
      <c r="J112" s="101"/>
      <c r="K112" s="601"/>
      <c r="L112" s="102"/>
    </row>
    <row r="113" spans="1:12" s="90" customFormat="1" ht="15">
      <c r="A113" s="99" t="s">
        <v>64</v>
      </c>
      <c r="B113" s="116" t="s">
        <v>127</v>
      </c>
      <c r="C113" s="101"/>
      <c r="D113" s="101"/>
      <c r="E113" s="101"/>
      <c r="F113" s="102"/>
      <c r="G113" s="103" t="s">
        <v>64</v>
      </c>
      <c r="H113" s="116" t="s">
        <v>133</v>
      </c>
      <c r="I113" s="135"/>
      <c r="J113" s="101"/>
      <c r="K113" s="601"/>
      <c r="L113" s="102"/>
    </row>
    <row r="114" spans="1:12" s="90" customFormat="1" ht="15.75" thickBot="1">
      <c r="A114" s="117"/>
      <c r="B114" s="118" t="s">
        <v>148</v>
      </c>
      <c r="C114" s="88">
        <f>+C102+C108+C112+C113</f>
        <v>0</v>
      </c>
      <c r="D114" s="88">
        <f>+D102+D108+D112+D113</f>
        <v>2300000</v>
      </c>
      <c r="E114" s="88">
        <f>+E102+E108+E112+E113</f>
        <v>2300000</v>
      </c>
      <c r="F114" s="119">
        <f>+E114/D114</f>
        <v>1</v>
      </c>
      <c r="G114" s="118"/>
      <c r="H114" s="118" t="s">
        <v>149</v>
      </c>
      <c r="I114" s="604">
        <f>+I113+I112+I108+I102</f>
        <v>0</v>
      </c>
      <c r="J114" s="88">
        <f>+J113+J112+J108+J102</f>
        <v>2300000</v>
      </c>
      <c r="K114" s="120">
        <f>+K102+K108+K112+K113</f>
        <v>0</v>
      </c>
      <c r="L114" s="119">
        <f>+K114/J114</f>
        <v>0</v>
      </c>
    </row>
    <row r="115" spans="3:12" s="90" customFormat="1" ht="15">
      <c r="C115" s="93"/>
      <c r="D115" s="93"/>
      <c r="E115" s="93"/>
      <c r="F115" s="93"/>
      <c r="I115" s="93"/>
      <c r="J115" s="93"/>
      <c r="K115" s="122"/>
      <c r="L115" s="122"/>
    </row>
    <row r="116" spans="1:12" s="90" customFormat="1" ht="15.75" thickBot="1">
      <c r="A116" s="90" t="s">
        <v>851</v>
      </c>
      <c r="C116" s="92"/>
      <c r="D116" s="93"/>
      <c r="E116" s="93"/>
      <c r="F116" s="93"/>
      <c r="I116" s="93"/>
      <c r="J116" s="608"/>
      <c r="K116" s="94"/>
      <c r="L116" s="95" t="s">
        <v>216</v>
      </c>
    </row>
    <row r="117" spans="1:12" s="90" customFormat="1" ht="28.5">
      <c r="A117" s="96"/>
      <c r="B117" s="97" t="s">
        <v>104</v>
      </c>
      <c r="C117" s="86" t="s">
        <v>227</v>
      </c>
      <c r="D117" s="86" t="s">
        <v>844</v>
      </c>
      <c r="E117" s="86" t="s">
        <v>303</v>
      </c>
      <c r="F117" s="87" t="s">
        <v>304</v>
      </c>
      <c r="G117" s="98"/>
      <c r="H117" s="97" t="s">
        <v>105</v>
      </c>
      <c r="I117" s="606" t="s">
        <v>227</v>
      </c>
      <c r="J117" s="607" t="s">
        <v>844</v>
      </c>
      <c r="K117" s="605" t="s">
        <v>303</v>
      </c>
      <c r="L117" s="87" t="s">
        <v>304</v>
      </c>
    </row>
    <row r="118" spans="1:12" s="90" customFormat="1" ht="15">
      <c r="A118" s="99" t="s">
        <v>23</v>
      </c>
      <c r="B118" s="100" t="s">
        <v>108</v>
      </c>
      <c r="C118" s="101"/>
      <c r="D118" s="101"/>
      <c r="E118" s="101"/>
      <c r="F118" s="102"/>
      <c r="G118" s="103" t="s">
        <v>23</v>
      </c>
      <c r="H118" s="100" t="s">
        <v>129</v>
      </c>
      <c r="I118" s="135"/>
      <c r="J118" s="101"/>
      <c r="K118" s="601"/>
      <c r="L118" s="102"/>
    </row>
    <row r="119" spans="1:12" s="90" customFormat="1" ht="15">
      <c r="A119" s="104" t="s">
        <v>111</v>
      </c>
      <c r="B119" s="105" t="s">
        <v>209</v>
      </c>
      <c r="C119" s="106"/>
      <c r="D119" s="106"/>
      <c r="E119" s="101"/>
      <c r="F119" s="102"/>
      <c r="G119" s="107" t="s">
        <v>111</v>
      </c>
      <c r="H119" s="108" t="s">
        <v>80</v>
      </c>
      <c r="I119" s="137"/>
      <c r="J119" s="106"/>
      <c r="K119" s="601"/>
      <c r="L119" s="102"/>
    </row>
    <row r="120" spans="1:12" s="90" customFormat="1" ht="15">
      <c r="A120" s="104"/>
      <c r="B120" s="109" t="s">
        <v>210</v>
      </c>
      <c r="C120" s="106"/>
      <c r="D120" s="106"/>
      <c r="E120" s="101"/>
      <c r="F120" s="102"/>
      <c r="G120" s="107" t="s">
        <v>112</v>
      </c>
      <c r="H120" s="108" t="s">
        <v>147</v>
      </c>
      <c r="I120" s="137"/>
      <c r="J120" s="106"/>
      <c r="K120" s="601"/>
      <c r="L120" s="102"/>
    </row>
    <row r="121" spans="1:12" s="90" customFormat="1" ht="15">
      <c r="A121" s="104" t="s">
        <v>112</v>
      </c>
      <c r="B121" s="110" t="s">
        <v>9</v>
      </c>
      <c r="C121" s="106"/>
      <c r="D121" s="106"/>
      <c r="E121" s="101"/>
      <c r="F121" s="102"/>
      <c r="G121" s="107" t="s">
        <v>113</v>
      </c>
      <c r="H121" s="108" t="s">
        <v>83</v>
      </c>
      <c r="I121" s="137"/>
      <c r="J121" s="106"/>
      <c r="K121" s="601"/>
      <c r="L121" s="102"/>
    </row>
    <row r="122" spans="1:12" s="90" customFormat="1" ht="15">
      <c r="A122" s="104" t="s">
        <v>113</v>
      </c>
      <c r="B122" s="111" t="s">
        <v>170</v>
      </c>
      <c r="C122" s="106"/>
      <c r="D122" s="106"/>
      <c r="E122" s="101"/>
      <c r="F122" s="102"/>
      <c r="G122" s="107" t="s">
        <v>114</v>
      </c>
      <c r="H122" s="108" t="s">
        <v>84</v>
      </c>
      <c r="I122" s="137"/>
      <c r="J122" s="106"/>
      <c r="K122" s="601"/>
      <c r="L122" s="102"/>
    </row>
    <row r="123" spans="1:12" s="90" customFormat="1" ht="15">
      <c r="A123" s="104" t="s">
        <v>114</v>
      </c>
      <c r="B123" s="110" t="s">
        <v>181</v>
      </c>
      <c r="C123" s="106"/>
      <c r="D123" s="106"/>
      <c r="E123" s="101"/>
      <c r="F123" s="102"/>
      <c r="G123" s="107" t="s">
        <v>115</v>
      </c>
      <c r="H123" s="108" t="s">
        <v>211</v>
      </c>
      <c r="I123" s="137"/>
      <c r="J123" s="106"/>
      <c r="K123" s="601"/>
      <c r="L123" s="102"/>
    </row>
    <row r="124" spans="1:12" s="90" customFormat="1" ht="15">
      <c r="A124" s="112" t="s">
        <v>45</v>
      </c>
      <c r="B124" s="100" t="s">
        <v>118</v>
      </c>
      <c r="C124" s="101">
        <f>+C125+C126+C127</f>
        <v>0</v>
      </c>
      <c r="D124" s="101">
        <f>+D125+D126+D127</f>
        <v>71000000</v>
      </c>
      <c r="E124" s="101">
        <f>+E125+E126+E127</f>
        <v>71000000</v>
      </c>
      <c r="F124" s="102">
        <f>+E124/D124</f>
        <v>1</v>
      </c>
      <c r="G124" s="113" t="s">
        <v>45</v>
      </c>
      <c r="H124" s="100" t="s">
        <v>130</v>
      </c>
      <c r="I124" s="135">
        <f>+I125+I126+I127</f>
        <v>0</v>
      </c>
      <c r="J124" s="101">
        <f>+J125+J126+J127</f>
        <v>71000000</v>
      </c>
      <c r="K124" s="601">
        <v>0</v>
      </c>
      <c r="L124" s="102">
        <f>+K124/J124</f>
        <v>0</v>
      </c>
    </row>
    <row r="125" spans="1:12" s="90" customFormat="1" ht="15">
      <c r="A125" s="114" t="s">
        <v>111</v>
      </c>
      <c r="B125" s="110" t="s">
        <v>106</v>
      </c>
      <c r="C125" s="106"/>
      <c r="D125" s="106">
        <v>71000000</v>
      </c>
      <c r="E125" s="106">
        <v>71000000</v>
      </c>
      <c r="F125" s="599">
        <f>+E125/D125</f>
        <v>1</v>
      </c>
      <c r="G125" s="115" t="s">
        <v>111</v>
      </c>
      <c r="H125" s="111" t="s">
        <v>131</v>
      </c>
      <c r="I125" s="137">
        <v>0</v>
      </c>
      <c r="J125" s="106">
        <v>71000000</v>
      </c>
      <c r="K125" s="602">
        <v>0</v>
      </c>
      <c r="L125" s="599">
        <f>+K125/J125</f>
        <v>0</v>
      </c>
    </row>
    <row r="126" spans="1:12" s="90" customFormat="1" ht="15">
      <c r="A126" s="114" t="s">
        <v>112</v>
      </c>
      <c r="B126" s="108" t="s">
        <v>39</v>
      </c>
      <c r="C126" s="106"/>
      <c r="D126" s="106"/>
      <c r="E126" s="101"/>
      <c r="F126" s="102"/>
      <c r="G126" s="115" t="s">
        <v>112</v>
      </c>
      <c r="H126" s="111" t="s">
        <v>87</v>
      </c>
      <c r="I126" s="137"/>
      <c r="J126" s="106"/>
      <c r="K126" s="601"/>
      <c r="L126" s="102"/>
    </row>
    <row r="127" spans="1:12" s="90" customFormat="1" ht="15">
      <c r="A127" s="114" t="s">
        <v>113</v>
      </c>
      <c r="B127" s="110" t="s">
        <v>201</v>
      </c>
      <c r="C127" s="106"/>
      <c r="D127" s="106"/>
      <c r="E127" s="101"/>
      <c r="F127" s="102"/>
      <c r="G127" s="115" t="s">
        <v>113</v>
      </c>
      <c r="H127" s="111" t="s">
        <v>90</v>
      </c>
      <c r="I127" s="137"/>
      <c r="J127" s="106"/>
      <c r="K127" s="601"/>
      <c r="L127" s="102"/>
    </row>
    <row r="128" spans="1:12" s="90" customFormat="1" ht="15">
      <c r="A128" s="112" t="s">
        <v>56</v>
      </c>
      <c r="B128" s="100" t="s">
        <v>126</v>
      </c>
      <c r="C128" s="101"/>
      <c r="D128" s="101"/>
      <c r="E128" s="101"/>
      <c r="F128" s="102"/>
      <c r="G128" s="113" t="s">
        <v>56</v>
      </c>
      <c r="H128" s="100" t="s">
        <v>132</v>
      </c>
      <c r="I128" s="135"/>
      <c r="J128" s="101"/>
      <c r="K128" s="601"/>
      <c r="L128" s="102"/>
    </row>
    <row r="129" spans="1:12" s="90" customFormat="1" ht="15">
      <c r="A129" s="99" t="s">
        <v>64</v>
      </c>
      <c r="B129" s="116" t="s">
        <v>127</v>
      </c>
      <c r="C129" s="101"/>
      <c r="D129" s="101"/>
      <c r="E129" s="101"/>
      <c r="F129" s="102"/>
      <c r="G129" s="103" t="s">
        <v>64</v>
      </c>
      <c r="H129" s="116" t="s">
        <v>133</v>
      </c>
      <c r="I129" s="135"/>
      <c r="J129" s="101"/>
      <c r="K129" s="601"/>
      <c r="L129" s="102"/>
    </row>
    <row r="130" spans="1:12" s="90" customFormat="1" ht="15.75" thickBot="1">
      <c r="A130" s="117"/>
      <c r="B130" s="118" t="s">
        <v>148</v>
      </c>
      <c r="C130" s="88">
        <f>+C118+C124+C128+C129</f>
        <v>0</v>
      </c>
      <c r="D130" s="88">
        <f>+D118+D124+D128+D129</f>
        <v>71000000</v>
      </c>
      <c r="E130" s="88">
        <f>+E118+E124+E128+E129</f>
        <v>71000000</v>
      </c>
      <c r="F130" s="119">
        <f>+E130/D130</f>
        <v>1</v>
      </c>
      <c r="G130" s="118"/>
      <c r="H130" s="118" t="s">
        <v>149</v>
      </c>
      <c r="I130" s="604">
        <f>+I129+I128+I124+I118</f>
        <v>0</v>
      </c>
      <c r="J130" s="88">
        <f>+J129+J128+J124+J118</f>
        <v>71000000</v>
      </c>
      <c r="K130" s="120">
        <f>+K118+K124+K128+K129</f>
        <v>0</v>
      </c>
      <c r="L130" s="119">
        <f>+K130/J130</f>
        <v>0</v>
      </c>
    </row>
    <row r="131" spans="11:12" ht="15">
      <c r="K131" s="69"/>
      <c r="L131" s="69"/>
    </row>
    <row r="132" spans="11:12" ht="15">
      <c r="K132" s="66"/>
      <c r="L132" s="66"/>
    </row>
    <row r="133" spans="11:12" ht="15">
      <c r="K133" s="67"/>
      <c r="L133" s="68"/>
    </row>
    <row r="134" spans="11:12" ht="15">
      <c r="K134" s="67"/>
      <c r="L134" s="68"/>
    </row>
    <row r="135" spans="11:12" ht="15">
      <c r="K135" s="67"/>
      <c r="L135" s="68"/>
    </row>
    <row r="136" spans="11:12" ht="15">
      <c r="K136" s="67"/>
      <c r="L136" s="68"/>
    </row>
    <row r="137" spans="11:12" ht="15">
      <c r="K137" s="67"/>
      <c r="L137" s="68"/>
    </row>
    <row r="138" spans="11:12" ht="15">
      <c r="K138" s="67"/>
      <c r="L138" s="68"/>
    </row>
    <row r="139" spans="11:12" ht="15">
      <c r="K139" s="67"/>
      <c r="L139" s="68"/>
    </row>
    <row r="140" spans="11:12" ht="15">
      <c r="K140" s="67"/>
      <c r="L140" s="68"/>
    </row>
    <row r="141" spans="11:12" ht="15">
      <c r="K141" s="67"/>
      <c r="L141" s="68"/>
    </row>
    <row r="142" spans="11:12" ht="15">
      <c r="K142" s="67"/>
      <c r="L142" s="68"/>
    </row>
    <row r="143" spans="11:12" ht="15">
      <c r="K143" s="67"/>
      <c r="L143" s="68"/>
    </row>
    <row r="144" spans="11:12" ht="15">
      <c r="K144" s="67"/>
      <c r="L144" s="68"/>
    </row>
    <row r="145" spans="11:12" ht="15">
      <c r="K145" s="64"/>
      <c r="L145" s="65"/>
    </row>
    <row r="146" spans="11:12" ht="15">
      <c r="K146" s="70"/>
      <c r="L146" s="70"/>
    </row>
    <row r="147" spans="11:12" ht="15">
      <c r="K147" s="67"/>
      <c r="L147" s="67"/>
    </row>
    <row r="148" spans="11:12" ht="15">
      <c r="K148" s="66"/>
      <c r="L148" s="66"/>
    </row>
    <row r="149" spans="11:12" ht="15">
      <c r="K149" s="67"/>
      <c r="L149" s="68"/>
    </row>
    <row r="150" spans="11:12" ht="15">
      <c r="K150" s="67"/>
      <c r="L150" s="68"/>
    </row>
    <row r="151" spans="11:12" ht="15">
      <c r="K151" s="67"/>
      <c r="L151" s="68"/>
    </row>
    <row r="152" spans="11:12" ht="15">
      <c r="K152" s="67"/>
      <c r="L152" s="68"/>
    </row>
    <row r="153" spans="11:12" ht="15">
      <c r="K153" s="67"/>
      <c r="L153" s="68"/>
    </row>
    <row r="154" spans="11:12" ht="15">
      <c r="K154" s="67"/>
      <c r="L154" s="68"/>
    </row>
    <row r="155" spans="11:12" ht="15">
      <c r="K155" s="67"/>
      <c r="L155" s="68"/>
    </row>
    <row r="156" spans="11:12" ht="15">
      <c r="K156" s="67"/>
      <c r="L156" s="68"/>
    </row>
    <row r="157" spans="11:12" ht="15">
      <c r="K157" s="67"/>
      <c r="L157" s="68"/>
    </row>
    <row r="158" spans="11:12" ht="15">
      <c r="K158" s="67"/>
      <c r="L158" s="68"/>
    </row>
    <row r="159" spans="11:12" ht="15">
      <c r="K159" s="67"/>
      <c r="L159" s="68"/>
    </row>
    <row r="160" spans="11:12" ht="15">
      <c r="K160" s="67"/>
      <c r="L160" s="68"/>
    </row>
    <row r="161" spans="11:12" ht="15">
      <c r="K161" s="64"/>
      <c r="L161" s="65"/>
    </row>
    <row r="162" spans="11:12" ht="15">
      <c r="K162" s="67"/>
      <c r="L162" s="67"/>
    </row>
    <row r="163" spans="11:12" ht="15">
      <c r="K163" s="67"/>
      <c r="L163" s="67"/>
    </row>
    <row r="164" spans="11:12" ht="15">
      <c r="K164" s="66"/>
      <c r="L164" s="66"/>
    </row>
    <row r="165" spans="11:12" ht="15">
      <c r="K165" s="67"/>
      <c r="L165" s="68"/>
    </row>
    <row r="166" spans="11:12" ht="15">
      <c r="K166" s="67"/>
      <c r="L166" s="68"/>
    </row>
    <row r="167" spans="11:12" ht="15">
      <c r="K167" s="67"/>
      <c r="L167" s="68"/>
    </row>
    <row r="168" spans="11:12" ht="15">
      <c r="K168" s="67"/>
      <c r="L168" s="68"/>
    </row>
    <row r="169" spans="11:12" ht="15">
      <c r="K169" s="67"/>
      <c r="L169" s="68"/>
    </row>
    <row r="170" spans="11:12" ht="15">
      <c r="K170" s="67"/>
      <c r="L170" s="68"/>
    </row>
    <row r="171" spans="11:12" ht="15">
      <c r="K171" s="67"/>
      <c r="L171" s="68"/>
    </row>
    <row r="172" spans="11:12" ht="15">
      <c r="K172" s="67"/>
      <c r="L172" s="68"/>
    </row>
    <row r="173" spans="11:12" ht="15">
      <c r="K173" s="67"/>
      <c r="L173" s="68"/>
    </row>
    <row r="174" spans="11:12" ht="15">
      <c r="K174" s="67"/>
      <c r="L174" s="68"/>
    </row>
    <row r="175" spans="11:12" ht="15">
      <c r="K175" s="67"/>
      <c r="L175" s="68"/>
    </row>
    <row r="176" spans="11:12" ht="15">
      <c r="K176" s="67"/>
      <c r="L176" s="68"/>
    </row>
    <row r="177" spans="11:12" ht="15">
      <c r="K177" s="64"/>
      <c r="L177" s="65"/>
    </row>
    <row r="178" spans="11:12" ht="15">
      <c r="K178" s="67"/>
      <c r="L178" s="67"/>
    </row>
    <row r="179" spans="11:12" ht="15">
      <c r="K179" s="67"/>
      <c r="L179" s="67"/>
    </row>
    <row r="180" spans="11:12" ht="15">
      <c r="K180" s="66"/>
      <c r="L180" s="66"/>
    </row>
    <row r="181" spans="11:12" ht="15">
      <c r="K181" s="67"/>
      <c r="L181" s="68"/>
    </row>
    <row r="182" spans="11:12" ht="15">
      <c r="K182" s="67"/>
      <c r="L182" s="68"/>
    </row>
    <row r="183" spans="11:12" ht="15">
      <c r="K183" s="67"/>
      <c r="L183" s="68"/>
    </row>
    <row r="184" spans="11:12" ht="15">
      <c r="K184" s="67"/>
      <c r="L184" s="68"/>
    </row>
    <row r="185" spans="11:12" ht="15">
      <c r="K185" s="67"/>
      <c r="L185" s="68"/>
    </row>
    <row r="186" spans="11:12" ht="15">
      <c r="K186" s="67"/>
      <c r="L186" s="68"/>
    </row>
    <row r="187" spans="11:12" ht="15">
      <c r="K187" s="67"/>
      <c r="L187" s="68"/>
    </row>
    <row r="188" spans="11:12" ht="15">
      <c r="K188" s="67"/>
      <c r="L188" s="68"/>
    </row>
    <row r="189" spans="11:12" ht="15">
      <c r="K189" s="67"/>
      <c r="L189" s="68"/>
    </row>
    <row r="190" spans="11:12" ht="15">
      <c r="K190" s="67"/>
      <c r="L190" s="68"/>
    </row>
    <row r="191" spans="11:12" ht="15">
      <c r="K191" s="67"/>
      <c r="L191" s="68"/>
    </row>
    <row r="192" spans="11:12" ht="15">
      <c r="K192" s="67"/>
      <c r="L192" s="68"/>
    </row>
    <row r="193" spans="11:12" ht="15">
      <c r="K193" s="64"/>
      <c r="L193" s="65"/>
    </row>
    <row r="194" spans="11:12" ht="15">
      <c r="K194" s="21"/>
      <c r="L194" s="21"/>
    </row>
    <row r="195" spans="11:12" ht="15">
      <c r="K195" s="21"/>
      <c r="L195" s="21"/>
    </row>
    <row r="196" spans="11:12" ht="15">
      <c r="K196" s="21"/>
      <c r="L196" s="21"/>
    </row>
    <row r="197" spans="11:12" ht="15">
      <c r="K197" s="21"/>
      <c r="L197" s="21"/>
    </row>
    <row r="198" spans="11:12" ht="15">
      <c r="K198" s="21"/>
      <c r="L198" s="21"/>
    </row>
    <row r="199" spans="11:12" ht="15">
      <c r="K199" s="21"/>
      <c r="L199" s="21"/>
    </row>
    <row r="200" spans="11:12" ht="15">
      <c r="K200" s="21"/>
      <c r="L200" s="21"/>
    </row>
    <row r="201" spans="11:12" ht="15">
      <c r="K201" s="21"/>
      <c r="L201" s="21"/>
    </row>
    <row r="202" spans="11:12" ht="15">
      <c r="K202" s="21"/>
      <c r="L202" s="21"/>
    </row>
    <row r="203" spans="11:12" ht="15">
      <c r="K203" s="21"/>
      <c r="L203" s="21"/>
    </row>
    <row r="204" spans="11:12" ht="15">
      <c r="K204" s="21"/>
      <c r="L204" s="21"/>
    </row>
    <row r="205" spans="11:12" ht="15">
      <c r="K205" s="21"/>
      <c r="L205" s="21"/>
    </row>
    <row r="206" spans="11:12" ht="15">
      <c r="K206" s="21"/>
      <c r="L206" s="21"/>
    </row>
    <row r="207" spans="11:12" ht="15">
      <c r="K207" s="21"/>
      <c r="L207" s="21"/>
    </row>
    <row r="208" spans="11:12" ht="15">
      <c r="K208" s="21"/>
      <c r="L208" s="21"/>
    </row>
    <row r="209" spans="11:12" ht="15">
      <c r="K209" s="21"/>
      <c r="L209" s="21"/>
    </row>
    <row r="210" spans="11:12" ht="15">
      <c r="K210" s="21"/>
      <c r="L210" s="21"/>
    </row>
    <row r="211" spans="11:12" ht="15">
      <c r="K211" s="21"/>
      <c r="L211" s="21"/>
    </row>
    <row r="212" spans="11:12" ht="15">
      <c r="K212" s="21"/>
      <c r="L212" s="21"/>
    </row>
    <row r="213" spans="11:12" ht="15">
      <c r="K213" s="21"/>
      <c r="L213" s="21"/>
    </row>
    <row r="214" spans="11:12" ht="15">
      <c r="K214" s="21"/>
      <c r="L214" s="21"/>
    </row>
    <row r="215" spans="11:12" ht="15">
      <c r="K215" s="21"/>
      <c r="L215" s="21"/>
    </row>
    <row r="216" spans="11:12" ht="15">
      <c r="K216" s="21"/>
      <c r="L216" s="21"/>
    </row>
    <row r="217" spans="11:12" ht="15">
      <c r="K217" s="21"/>
      <c r="L217" s="21"/>
    </row>
    <row r="218" spans="11:12" ht="15">
      <c r="K218" s="21"/>
      <c r="L218" s="21"/>
    </row>
    <row r="219" spans="11:12" ht="15">
      <c r="K219" s="21"/>
      <c r="L219" s="21"/>
    </row>
    <row r="220" spans="11:12" ht="15">
      <c r="K220" s="21"/>
      <c r="L220" s="21"/>
    </row>
    <row r="221" spans="11:12" ht="15">
      <c r="K221" s="21"/>
      <c r="L221" s="21"/>
    </row>
    <row r="222" spans="11:12" ht="15">
      <c r="K222" s="21"/>
      <c r="L222" s="21"/>
    </row>
    <row r="223" spans="11:12" ht="15">
      <c r="K223" s="21"/>
      <c r="L223" s="21"/>
    </row>
    <row r="224" spans="11:12" ht="15">
      <c r="K224" s="21"/>
      <c r="L224" s="21"/>
    </row>
    <row r="225" spans="11:12" ht="15">
      <c r="K225" s="21"/>
      <c r="L225" s="21"/>
    </row>
    <row r="226" spans="11:12" ht="15">
      <c r="K226" s="21"/>
      <c r="L226" s="21"/>
    </row>
    <row r="227" spans="11:12" ht="15">
      <c r="K227" s="21"/>
      <c r="L227" s="21"/>
    </row>
    <row r="228" spans="11:12" ht="15">
      <c r="K228" s="21"/>
      <c r="L228" s="21"/>
    </row>
    <row r="229" spans="11:12" ht="15">
      <c r="K229" s="21"/>
      <c r="L229" s="21"/>
    </row>
    <row r="230" spans="11:12" ht="15">
      <c r="K230" s="21"/>
      <c r="L230" s="21"/>
    </row>
    <row r="231" spans="11:12" ht="15">
      <c r="K231" s="21"/>
      <c r="L231" s="21"/>
    </row>
    <row r="232" spans="11:12" ht="15">
      <c r="K232" s="21"/>
      <c r="L232" s="21"/>
    </row>
    <row r="233" spans="11:12" ht="15">
      <c r="K233" s="21"/>
      <c r="L233" s="21"/>
    </row>
    <row r="234" spans="11:12" ht="15">
      <c r="K234" s="21"/>
      <c r="L234" s="21"/>
    </row>
  </sheetData>
  <sheetProtection/>
  <mergeCells count="3">
    <mergeCell ref="A3:B3"/>
    <mergeCell ref="A2:J2"/>
    <mergeCell ref="I1:L1"/>
  </mergeCells>
  <printOptions verticalCentered="1"/>
  <pageMargins left="0.31496062992125984" right="0.31496062992125984" top="0.35433070866141736" bottom="0.35433070866141736" header="0.31496062992125984" footer="0.31496062992125984"/>
  <pageSetup fitToHeight="6" horizontalDpi="600" verticalDpi="600" orientation="landscape" paperSize="9" scale="42" r:id="rId1"/>
  <rowBreaks count="1" manualBreakCount="1">
    <brk id="18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70"/>
  <sheetViews>
    <sheetView view="pageBreakPreview" zoomScale="80" zoomScaleNormal="80" zoomScaleSheetLayoutView="80" zoomScalePageLayoutView="0" workbookViewId="0" topLeftCell="A2041">
      <selection activeCell="K1488" sqref="K1488"/>
    </sheetView>
  </sheetViews>
  <sheetFormatPr defaultColWidth="9.140625" defaultRowHeight="15"/>
  <cols>
    <col min="1" max="1" width="6.7109375" style="72" customWidth="1"/>
    <col min="2" max="2" width="52.7109375" style="72" bestFit="1" customWidth="1"/>
    <col min="3" max="6" width="15.8515625" style="53" customWidth="1"/>
    <col min="7" max="7" width="4.421875" style="72" bestFit="1" customWidth="1"/>
    <col min="8" max="8" width="61.57421875" style="72" bestFit="1" customWidth="1"/>
    <col min="9" max="12" width="15.8515625" style="53" customWidth="1"/>
    <col min="13" max="13" width="9.8515625" style="52" bestFit="1" customWidth="1"/>
    <col min="14" max="16384" width="9.140625" style="52" customWidth="1"/>
  </cols>
  <sheetData>
    <row r="1" spans="2:12" ht="12.75" customHeight="1">
      <c r="B1" s="619"/>
      <c r="C1" s="620"/>
      <c r="D1" s="620"/>
      <c r="E1" s="620"/>
      <c r="F1" s="620"/>
      <c r="G1" s="619"/>
      <c r="H1" s="756" t="s">
        <v>920</v>
      </c>
      <c r="I1" s="756"/>
      <c r="J1" s="756"/>
      <c r="K1" s="756"/>
      <c r="L1" s="756"/>
    </row>
    <row r="2" spans="1:12" ht="14.25" customHeight="1">
      <c r="A2" s="755" t="s">
        <v>885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ht="12.75" customHeight="1" thickBot="1">
      <c r="A3" s="621" t="s">
        <v>219</v>
      </c>
      <c r="B3" s="622"/>
      <c r="C3" s="623"/>
      <c r="D3" s="623"/>
      <c r="E3" s="623"/>
      <c r="F3" s="623"/>
      <c r="G3" s="622"/>
      <c r="H3" s="622"/>
      <c r="I3" s="624"/>
      <c r="J3" s="623"/>
      <c r="K3" s="623"/>
      <c r="L3" s="624" t="s">
        <v>216</v>
      </c>
    </row>
    <row r="4" spans="1:12" s="72" customFormat="1" ht="36" customHeight="1">
      <c r="A4" s="625"/>
      <c r="B4" s="626" t="s">
        <v>104</v>
      </c>
      <c r="C4" s="71" t="s">
        <v>227</v>
      </c>
      <c r="D4" s="71" t="s">
        <v>789</v>
      </c>
      <c r="E4" s="71" t="s">
        <v>303</v>
      </c>
      <c r="F4" s="627" t="s">
        <v>304</v>
      </c>
      <c r="G4" s="625"/>
      <c r="H4" s="626" t="s">
        <v>105</v>
      </c>
      <c r="I4" s="71" t="s">
        <v>227</v>
      </c>
      <c r="J4" s="71" t="s">
        <v>789</v>
      </c>
      <c r="K4" s="71" t="s">
        <v>303</v>
      </c>
      <c r="L4" s="627" t="s">
        <v>304</v>
      </c>
    </row>
    <row r="5" spans="1:12" ht="12.75" customHeight="1">
      <c r="A5" s="628" t="s">
        <v>23</v>
      </c>
      <c r="B5" s="629" t="s">
        <v>108</v>
      </c>
      <c r="C5" s="630">
        <f aca="true" t="shared" si="0" ref="C5:E7">+C21+C37++C117+C133+C149+C165+C213+C229+C245+C261+C309+C325+C341+C357+C373+C389+C437+C453+C469+C485+C517+C533+C549+C565+C597+C613+C629+C645+C101+C85+C69+C661+C677+C693+C709+C741+C757+C773+C789+C53+C822+C838+C854+C871+C887+C903+C920+C936+C952+C968+C984+C1000+C1017+C1033+C1049+C1081+C1097+C1113+C1129+C1145+C1161+C1177+C1193+C1209+C1225+C1241+C1257+C1273+C1337+C1353+C1369+C1385+C1401+C1417+C1433+C1449+C1465+C1482+C1498+C181+C197+C277+C293+C405+C421+C501+C581+C725+C806+C1065+C1289+C1305+C1321+C1514+C1530+C1546+C1562+C1578+C1594+C1610+C1626+C1642+C1658+C1674+C1690+C1706+C1722+C1738+C1754+C1770+C1786+C1802+C1818+C1834+C1850+C1866+C1882+C1898+C1914+C1930+C1946+C1962+C1978+C1994+C2010+C2026+C2042+C2058</f>
        <v>96065682</v>
      </c>
      <c r="D5" s="630">
        <f t="shared" si="0"/>
        <v>103569969</v>
      </c>
      <c r="E5" s="630">
        <f t="shared" si="0"/>
        <v>57133364</v>
      </c>
      <c r="F5" s="631">
        <f>E5/D5</f>
        <v>0.5516402539427235</v>
      </c>
      <c r="G5" s="628" t="s">
        <v>23</v>
      </c>
      <c r="H5" s="629" t="s">
        <v>129</v>
      </c>
      <c r="I5" s="630">
        <f>+I21+I37++I117+I133+I149+I165+I213+I229+I245+I261+I309+I325+I341+I357+I373+I389+I437+I453+I469+I485+I517+I533+I549+I565+I597+I613+I629+I645+I101+I85+I69+I661+I677+I693+I709+I741+I757+I773+I789+I53+I822+I838+I854+I871+I887+I903+I920+I936+I952+I968+I984+I1000+I1017+I1033+I1049+I1081+I1097+I1113+I1129+I1145+I1161+I1177+I1193+I1209+I1225+I1241+I1257+I1273+I1337+I1353+I1369+I1385+I1401+I1417+I1433+I1449+I1465+I1482+I1498+I181+I197+I277+I293+I405+I421+I501+I581+I725+I806+I1065+I1289+I1305+I1321+I1514+I1530+I1546+I1562+I1578+I1594+I1610+I1626+I1642+I1658+I1674+I1690+I1706+I1722+I1738+I1754+I1770+I1786+I1802+I1818+I1834+I1850+I1866+I1882+I1898+I1914+I1930+I1946+I1962+I1978+I1994+I2010+I2026+I2042+I2058</f>
        <v>375964667</v>
      </c>
      <c r="J5" s="630">
        <f>+J21+J37++J117+J133+J149+J165+J213+J229+J245+J261+J309+J325+J341+J357+J373+J389+J437+J453+J469+J485+J517+J533+J549+J565+J597+J613+J629+J645+J101+J85+J69+J661+J677+J693+J709+J741+J757+J773+J789+J53+J822+J838+J854+J871+J887+J903+J920+J936+J952+J968+J984+J1000+J1017+J1033+J1049+J1081+J1097+J1113+J1129+J1145+J1161+J1177+J1193+J1209+J1225+J1241+J1257+J1273+J1337+J1353+J1369+J1385+J1401+J1417+J1433+J1449+J1465+J1482+J1498+J181+J197+J277+J293+J405+J421+J501+J581+J725+J806+J1065+J1289+J1305+J1321+J1514+J1530+J1546+J1562+J1578+J1594+J1610+J1626+J1642+J1658+J1674+J1690+J1706+J1722+J1738+J1754+J1770+J1786+J1802+J1818+J1834+J1850+J1866+J1882+J1898+J1914+J1930+J1946+J1962+J1978+J1994+J2010+J2026+J2042+J2058</f>
        <v>380141947</v>
      </c>
      <c r="K5" s="630">
        <f>+K21+K37++K117+K133+K149+K165+K213+K229+K245+K261+K309+K325+K341+K357+K373+K389+K437+K453+K469+K485+K517+K533+K549+K565+K597+K613+K629+K645+K101+K85+K69+K661+K677+K693+K709+K741+K757+K773+K789+K53+K822+K838+K854+K871+K887+K903+K920+K936+K952+K968+K984+K1000+K1017+K1033+K1049+K1081+K1097+K1113+K1129+K1145+K1161+K1177+K1193+K1209+K1225+K1241+K1257+K1273+K1337+K1353+K1369+K1385+K1401+K1417+K1433+K1449+K1465+K1482+K1498+K181+K197+K277+K293+K405+K421+K501+K581+K725+K806+K1065+K1289+K1305+K1321+K1514+K1530+K1546+K1562+K1578+K1594+K1610+K1626+K1642+K1658+K1674+K1690+K1706+K1722+K1738+K1754+K1770+K1786+K1802+K1818+K1834+K1850+K1866+K1882+K1898+K1914+K1930+K1946+K1962+K1978+K1994+K2010+K2026+K2042+K2058</f>
        <v>123339967</v>
      </c>
      <c r="L5" s="631">
        <f>K5/J5</f>
        <v>0.32445766107469326</v>
      </c>
    </row>
    <row r="6" spans="1:12" ht="12.75" customHeight="1">
      <c r="A6" s="628" t="s">
        <v>111</v>
      </c>
      <c r="B6" s="632" t="s">
        <v>209</v>
      </c>
      <c r="C6" s="630">
        <f t="shared" si="0"/>
        <v>96065682</v>
      </c>
      <c r="D6" s="630">
        <f t="shared" si="0"/>
        <v>103569969</v>
      </c>
      <c r="E6" s="630">
        <f t="shared" si="0"/>
        <v>57133364</v>
      </c>
      <c r="F6" s="631">
        <f>E6/D6</f>
        <v>0.5516402539427235</v>
      </c>
      <c r="G6" s="628" t="s">
        <v>111</v>
      </c>
      <c r="H6" s="632" t="s">
        <v>80</v>
      </c>
      <c r="I6" s="630">
        <f aca="true" t="shared" si="1" ref="I6:K17">+I22+I38++I118+I134+I150+I166+I214+I230+I246+I262+I310+I326+I342+I358+I374+I390+I438+I454+I470+I486+I518+I534+I550+I566+I598+I614+I630+I646+I102+I86+I70+I662+I678+I694+I710+I742+I758+I774+I790+I54+I823+I839+I855+I872+I888+I904+I921+I937+I953+I969+I985+I1001+I1018+I1034+I1050+I1082+I1098+I1114+I1130+I1146+I1162+I1178+I1194+I1210+I1226+I1242+I1258+I1274+I1338+I1354+I1370+I1386+I1402+I1418+I1434+I1450+I1466+I1483+I1499+I182+I198+I278+I294+I406+I422+I502+I582+I726+I807+I1066+I1290+I1306+I1322+I1515+I1531+I1547+I1563+I1579+I1595+I1611+I1627+I1643+I1659+I1675+I1691+I1707+I1723+I1739+I1755+I1771+I1787+I1803+I1819+I1835+I1851+I1867+I1883+I1899+I1915+I1931+I1947+I1963+I1979+I1995+I2011+I2027+I2043+I2059</f>
        <v>228044846</v>
      </c>
      <c r="J6" s="630">
        <f t="shared" si="1"/>
        <v>237274338</v>
      </c>
      <c r="K6" s="630">
        <f t="shared" si="1"/>
        <v>85178935</v>
      </c>
      <c r="L6" s="631">
        <f aca="true" t="shared" si="2" ref="L6:L17">K6/J6</f>
        <v>0.3589892430760886</v>
      </c>
    </row>
    <row r="7" spans="1:12" ht="12.75" customHeight="1">
      <c r="A7" s="628"/>
      <c r="B7" s="632" t="s">
        <v>210</v>
      </c>
      <c r="C7" s="630">
        <f t="shared" si="0"/>
        <v>96065682</v>
      </c>
      <c r="D7" s="630">
        <f t="shared" si="0"/>
        <v>103569969</v>
      </c>
      <c r="E7" s="630">
        <f t="shared" si="0"/>
        <v>57133364</v>
      </c>
      <c r="F7" s="631">
        <f>E7/D7</f>
        <v>0.5516402539427235</v>
      </c>
      <c r="G7" s="628" t="s">
        <v>112</v>
      </c>
      <c r="H7" s="632" t="s">
        <v>147</v>
      </c>
      <c r="I7" s="630">
        <f t="shared" si="1"/>
        <v>47851390</v>
      </c>
      <c r="J7" s="630">
        <f t="shared" si="1"/>
        <v>48861954</v>
      </c>
      <c r="K7" s="630">
        <f t="shared" si="1"/>
        <v>14389439</v>
      </c>
      <c r="L7" s="631">
        <f t="shared" si="2"/>
        <v>0.29449168160569267</v>
      </c>
    </row>
    <row r="8" spans="1:13" ht="12.75" customHeight="1">
      <c r="A8" s="628" t="s">
        <v>112</v>
      </c>
      <c r="B8" s="632" t="s">
        <v>9</v>
      </c>
      <c r="C8" s="630"/>
      <c r="D8" s="630"/>
      <c r="E8" s="630"/>
      <c r="F8" s="631"/>
      <c r="G8" s="628" t="s">
        <v>113</v>
      </c>
      <c r="H8" s="632" t="s">
        <v>83</v>
      </c>
      <c r="I8" s="630">
        <f t="shared" si="1"/>
        <v>89162772</v>
      </c>
      <c r="J8" s="630">
        <f t="shared" si="1"/>
        <v>82353866</v>
      </c>
      <c r="K8" s="630">
        <f t="shared" si="1"/>
        <v>14502017</v>
      </c>
      <c r="L8" s="631">
        <f t="shared" si="2"/>
        <v>0.17609394317930382</v>
      </c>
      <c r="M8" s="54"/>
    </row>
    <row r="9" spans="1:13" ht="12.75" customHeight="1">
      <c r="A9" s="628" t="s">
        <v>113</v>
      </c>
      <c r="B9" s="632" t="s">
        <v>170</v>
      </c>
      <c r="C9" s="630"/>
      <c r="D9" s="630"/>
      <c r="E9" s="630"/>
      <c r="F9" s="631"/>
      <c r="G9" s="628" t="s">
        <v>114</v>
      </c>
      <c r="H9" s="632" t="s">
        <v>84</v>
      </c>
      <c r="I9" s="630"/>
      <c r="J9" s="630"/>
      <c r="K9" s="630"/>
      <c r="L9" s="631"/>
      <c r="M9" s="54"/>
    </row>
    <row r="10" spans="1:12" ht="12.75" customHeight="1">
      <c r="A10" s="628" t="s">
        <v>114</v>
      </c>
      <c r="B10" s="632" t="s">
        <v>181</v>
      </c>
      <c r="C10" s="630"/>
      <c r="D10" s="630"/>
      <c r="E10" s="630"/>
      <c r="F10" s="631"/>
      <c r="G10" s="628" t="s">
        <v>115</v>
      </c>
      <c r="H10" s="632" t="s">
        <v>211</v>
      </c>
      <c r="I10" s="630">
        <f t="shared" si="1"/>
        <v>10905659</v>
      </c>
      <c r="J10" s="630">
        <f t="shared" si="1"/>
        <v>11651789</v>
      </c>
      <c r="K10" s="630">
        <f t="shared" si="1"/>
        <v>9269576</v>
      </c>
      <c r="L10" s="631">
        <f t="shared" si="2"/>
        <v>0.7955495932856319</v>
      </c>
    </row>
    <row r="11" spans="1:12" ht="12.75" customHeight="1">
      <c r="A11" s="633" t="s">
        <v>45</v>
      </c>
      <c r="B11" s="629" t="s">
        <v>118</v>
      </c>
      <c r="C11" s="630"/>
      <c r="D11" s="630"/>
      <c r="E11" s="630"/>
      <c r="F11" s="631"/>
      <c r="G11" s="633" t="s">
        <v>45</v>
      </c>
      <c r="H11" s="629" t="s">
        <v>130</v>
      </c>
      <c r="I11" s="630">
        <f t="shared" si="1"/>
        <v>4259107</v>
      </c>
      <c r="J11" s="630">
        <f t="shared" si="1"/>
        <v>7759107</v>
      </c>
      <c r="K11" s="630">
        <f t="shared" si="1"/>
        <v>5009107</v>
      </c>
      <c r="L11" s="631">
        <f t="shared" si="2"/>
        <v>0.6455777707408855</v>
      </c>
    </row>
    <row r="12" spans="1:12" ht="12.75" customHeight="1">
      <c r="A12" s="633" t="s">
        <v>111</v>
      </c>
      <c r="B12" s="629" t="s">
        <v>106</v>
      </c>
      <c r="C12" s="630"/>
      <c r="D12" s="630"/>
      <c r="E12" s="630"/>
      <c r="F12" s="631"/>
      <c r="G12" s="633" t="s">
        <v>111</v>
      </c>
      <c r="H12" s="629" t="s">
        <v>131</v>
      </c>
      <c r="I12" s="630">
        <f t="shared" si="1"/>
        <v>3644950</v>
      </c>
      <c r="J12" s="630">
        <f t="shared" si="1"/>
        <v>7144950</v>
      </c>
      <c r="K12" s="630">
        <f t="shared" si="1"/>
        <v>4394950</v>
      </c>
      <c r="L12" s="631">
        <f t="shared" si="2"/>
        <v>0.6151127719578163</v>
      </c>
    </row>
    <row r="13" spans="1:12" ht="12.75" customHeight="1">
      <c r="A13" s="633" t="s">
        <v>112</v>
      </c>
      <c r="B13" s="629" t="s">
        <v>39</v>
      </c>
      <c r="C13" s="630"/>
      <c r="D13" s="630"/>
      <c r="E13" s="630"/>
      <c r="F13" s="631"/>
      <c r="G13" s="633" t="s">
        <v>112</v>
      </c>
      <c r="H13" s="629" t="s">
        <v>87</v>
      </c>
      <c r="I13" s="630"/>
      <c r="J13" s="630"/>
      <c r="K13" s="630"/>
      <c r="L13" s="631"/>
    </row>
    <row r="14" spans="1:12" ht="12.75" customHeight="1">
      <c r="A14" s="633" t="s">
        <v>113</v>
      </c>
      <c r="B14" s="629" t="s">
        <v>201</v>
      </c>
      <c r="C14" s="630"/>
      <c r="D14" s="630"/>
      <c r="E14" s="630"/>
      <c r="F14" s="631"/>
      <c r="G14" s="633" t="s">
        <v>113</v>
      </c>
      <c r="H14" s="629" t="s">
        <v>90</v>
      </c>
      <c r="I14" s="630">
        <f t="shared" si="1"/>
        <v>614157</v>
      </c>
      <c r="J14" s="630">
        <f t="shared" si="1"/>
        <v>614157</v>
      </c>
      <c r="K14" s="630">
        <f t="shared" si="1"/>
        <v>614157</v>
      </c>
      <c r="L14" s="631">
        <f t="shared" si="2"/>
        <v>1</v>
      </c>
    </row>
    <row r="15" spans="1:12" ht="12.75" customHeight="1">
      <c r="A15" s="633" t="s">
        <v>56</v>
      </c>
      <c r="B15" s="629" t="s">
        <v>126</v>
      </c>
      <c r="C15" s="630">
        <f aca="true" t="shared" si="3" ref="C15:E17">+C31+C47++C127+C143+C159+C175+C223+C239+C255+C271+C319+C335+C351+C367+C383+C399+C447+C463+C479+C495+C527+C543+C559+C575+C607+C623+C639+C655+C111+C95+C79+C671+C687+C703+C719+C751+C767+C783+C799+C63+C832+C848+C864+C881+C897+C913+C930+C946+C962+C978+C994+C1010+C1027+C1043+C1059+C1091+C1107+C1123+C1139+C1155+C1171+C1187+C1203+C1219+C1235+C1251+C1267+C1283+C1347+C1363+C1379+C1395+C1411+C1427+C1443+C1459+C1475+C1492+C1508+C191+C207+C287+C303+C415+C431+C511+C591+C735+C816+C1075+C1299+C1315+C1331+C1524+C1540+C1556+C1572+C1588+C1604+C1620+C1636+C1652+C1668+C1684+C1700+C1716+C1732+C1748+C1764+C1780+C1796+C1812+C1828+C1844+C1860+C1876+C1892+C1908+C1924+C1940+C1956+C1972+C1988+C2004+C2020+C2036+C2052+C2068</f>
        <v>280895935</v>
      </c>
      <c r="D15" s="630">
        <f t="shared" si="3"/>
        <v>280145936</v>
      </c>
      <c r="E15" s="630">
        <f t="shared" si="3"/>
        <v>245081665</v>
      </c>
      <c r="F15" s="631">
        <f>E15/D15</f>
        <v>0.8748356963493484</v>
      </c>
      <c r="G15" s="633" t="s">
        <v>56</v>
      </c>
      <c r="H15" s="629" t="s">
        <v>132</v>
      </c>
      <c r="I15" s="630"/>
      <c r="J15" s="630"/>
      <c r="K15" s="630"/>
      <c r="L15" s="631"/>
    </row>
    <row r="16" spans="1:12" ht="12.75" customHeight="1">
      <c r="A16" s="628" t="s">
        <v>64</v>
      </c>
      <c r="B16" s="632" t="s">
        <v>127</v>
      </c>
      <c r="C16" s="630">
        <f t="shared" si="3"/>
        <v>3262157</v>
      </c>
      <c r="D16" s="630">
        <f t="shared" si="3"/>
        <v>4012157</v>
      </c>
      <c r="E16" s="630">
        <f t="shared" si="3"/>
        <v>4012157</v>
      </c>
      <c r="F16" s="631">
        <f>E16/D16</f>
        <v>1</v>
      </c>
      <c r="G16" s="628" t="s">
        <v>64</v>
      </c>
      <c r="H16" s="632" t="s">
        <v>133</v>
      </c>
      <c r="I16" s="630"/>
      <c r="J16" s="630"/>
      <c r="K16" s="630"/>
      <c r="L16" s="631"/>
    </row>
    <row r="17" spans="1:12" s="72" customFormat="1" ht="12.75" customHeight="1" thickBot="1">
      <c r="A17" s="634"/>
      <c r="B17" s="635" t="s">
        <v>148</v>
      </c>
      <c r="C17" s="630">
        <f t="shared" si="3"/>
        <v>380223774</v>
      </c>
      <c r="D17" s="630">
        <f t="shared" si="3"/>
        <v>387728062</v>
      </c>
      <c r="E17" s="630">
        <f t="shared" si="3"/>
        <v>306227186</v>
      </c>
      <c r="F17" s="636">
        <f>E17/D17</f>
        <v>0.7897988719733162</v>
      </c>
      <c r="G17" s="634"/>
      <c r="H17" s="635" t="s">
        <v>149</v>
      </c>
      <c r="I17" s="630">
        <f t="shared" si="1"/>
        <v>380223774</v>
      </c>
      <c r="J17" s="630">
        <f t="shared" si="1"/>
        <v>387901054</v>
      </c>
      <c r="K17" s="630">
        <f t="shared" si="1"/>
        <v>128349074</v>
      </c>
      <c r="L17" s="636">
        <f t="shared" si="2"/>
        <v>0.33088096223631297</v>
      </c>
    </row>
    <row r="18" spans="1:12" s="55" customFormat="1" ht="12.75" customHeight="1">
      <c r="A18" s="594"/>
      <c r="B18" s="594"/>
      <c r="C18" s="595"/>
      <c r="D18" s="595"/>
      <c r="E18" s="595"/>
      <c r="F18" s="595"/>
      <c r="G18" s="594"/>
      <c r="H18" s="124"/>
      <c r="I18" s="595"/>
      <c r="J18" s="595"/>
      <c r="K18" s="595"/>
      <c r="L18" s="595"/>
    </row>
    <row r="19" spans="1:12" s="126" customFormat="1" ht="12.75" customHeight="1" thickBot="1">
      <c r="A19" s="90" t="s">
        <v>221</v>
      </c>
      <c r="B19" s="124"/>
      <c r="C19" s="93"/>
      <c r="D19" s="93"/>
      <c r="E19" s="93"/>
      <c r="F19" s="93"/>
      <c r="G19" s="124"/>
      <c r="H19" s="124"/>
      <c r="I19" s="595"/>
      <c r="K19" s="93"/>
      <c r="L19" s="595" t="s">
        <v>216</v>
      </c>
    </row>
    <row r="20" spans="1:12" s="90" customFormat="1" ht="36" customHeight="1">
      <c r="A20" s="96"/>
      <c r="B20" s="97" t="s">
        <v>104</v>
      </c>
      <c r="C20" s="86" t="s">
        <v>227</v>
      </c>
      <c r="D20" s="86" t="s">
        <v>789</v>
      </c>
      <c r="E20" s="86" t="s">
        <v>303</v>
      </c>
      <c r="F20" s="87" t="s">
        <v>304</v>
      </c>
      <c r="G20" s="96">
        <v>15</v>
      </c>
      <c r="H20" s="97" t="s">
        <v>105</v>
      </c>
      <c r="I20" s="86" t="s">
        <v>227</v>
      </c>
      <c r="J20" s="86" t="s">
        <v>789</v>
      </c>
      <c r="K20" s="86" t="s">
        <v>303</v>
      </c>
      <c r="L20" s="87" t="s">
        <v>304</v>
      </c>
    </row>
    <row r="21" spans="1:12" s="90" customFormat="1" ht="12.75" customHeight="1">
      <c r="A21" s="99" t="s">
        <v>23</v>
      </c>
      <c r="B21" s="100" t="s">
        <v>108</v>
      </c>
      <c r="C21" s="101"/>
      <c r="D21" s="101"/>
      <c r="E21" s="101"/>
      <c r="F21" s="102"/>
      <c r="G21" s="99" t="s">
        <v>23</v>
      </c>
      <c r="H21" s="100" t="s">
        <v>129</v>
      </c>
      <c r="I21" s="101">
        <f>SUM(I22:I26)</f>
        <v>3267000</v>
      </c>
      <c r="J21" s="101">
        <f>SUM(J22:J26)</f>
        <v>3267000</v>
      </c>
      <c r="K21" s="101">
        <f>SUM(K22:K26)</f>
        <v>0</v>
      </c>
      <c r="L21" s="102">
        <f>+K21/J21</f>
        <v>0</v>
      </c>
    </row>
    <row r="22" spans="1:12" s="90" customFormat="1" ht="12.75" customHeight="1">
      <c r="A22" s="99" t="s">
        <v>111</v>
      </c>
      <c r="B22" s="116" t="s">
        <v>209</v>
      </c>
      <c r="C22" s="106"/>
      <c r="D22" s="106"/>
      <c r="E22" s="106"/>
      <c r="F22" s="599"/>
      <c r="G22" s="99" t="s">
        <v>111</v>
      </c>
      <c r="H22" s="116" t="s">
        <v>80</v>
      </c>
      <c r="I22" s="106">
        <v>2780425</v>
      </c>
      <c r="J22" s="106">
        <v>2780425</v>
      </c>
      <c r="K22" s="106">
        <v>0</v>
      </c>
      <c r="L22" s="599">
        <f>+K22/J22</f>
        <v>0</v>
      </c>
    </row>
    <row r="23" spans="1:12" s="90" customFormat="1" ht="12.75" customHeight="1">
      <c r="A23" s="99"/>
      <c r="B23" s="116" t="s">
        <v>210</v>
      </c>
      <c r="C23" s="106"/>
      <c r="D23" s="106"/>
      <c r="E23" s="106"/>
      <c r="F23" s="599"/>
      <c r="G23" s="99" t="s">
        <v>112</v>
      </c>
      <c r="H23" s="116" t="s">
        <v>147</v>
      </c>
      <c r="I23" s="106">
        <v>486575</v>
      </c>
      <c r="J23" s="106">
        <v>486575</v>
      </c>
      <c r="K23" s="106">
        <v>0</v>
      </c>
      <c r="L23" s="599">
        <f>+K23/J23</f>
        <v>0</v>
      </c>
    </row>
    <row r="24" spans="1:12" s="90" customFormat="1" ht="12.75" customHeight="1">
      <c r="A24" s="99" t="s">
        <v>112</v>
      </c>
      <c r="B24" s="116" t="s">
        <v>9</v>
      </c>
      <c r="C24" s="106"/>
      <c r="D24" s="106"/>
      <c r="E24" s="106"/>
      <c r="F24" s="599"/>
      <c r="G24" s="99" t="s">
        <v>113</v>
      </c>
      <c r="H24" s="116" t="s">
        <v>83</v>
      </c>
      <c r="I24" s="106"/>
      <c r="J24" s="106"/>
      <c r="K24" s="106"/>
      <c r="L24" s="599"/>
    </row>
    <row r="25" spans="1:12" s="90" customFormat="1" ht="12.75" customHeight="1">
      <c r="A25" s="99" t="s">
        <v>113</v>
      </c>
      <c r="B25" s="116" t="s">
        <v>170</v>
      </c>
      <c r="C25" s="106"/>
      <c r="D25" s="106"/>
      <c r="E25" s="106"/>
      <c r="F25" s="599"/>
      <c r="G25" s="99" t="s">
        <v>114</v>
      </c>
      <c r="H25" s="116" t="s">
        <v>84</v>
      </c>
      <c r="I25" s="106"/>
      <c r="J25" s="106"/>
      <c r="K25" s="106"/>
      <c r="L25" s="599"/>
    </row>
    <row r="26" spans="1:12" s="90" customFormat="1" ht="12.75" customHeight="1">
      <c r="A26" s="99" t="s">
        <v>114</v>
      </c>
      <c r="B26" s="116" t="s">
        <v>181</v>
      </c>
      <c r="C26" s="106"/>
      <c r="D26" s="106"/>
      <c r="E26" s="106"/>
      <c r="F26" s="599"/>
      <c r="G26" s="99" t="s">
        <v>115</v>
      </c>
      <c r="H26" s="116" t="s">
        <v>211</v>
      </c>
      <c r="I26" s="106"/>
      <c r="J26" s="106"/>
      <c r="K26" s="106"/>
      <c r="L26" s="599"/>
    </row>
    <row r="27" spans="1:12" s="90" customFormat="1" ht="12.75" customHeight="1">
      <c r="A27" s="112" t="s">
        <v>45</v>
      </c>
      <c r="B27" s="100" t="s">
        <v>118</v>
      </c>
      <c r="C27" s="101"/>
      <c r="D27" s="101"/>
      <c r="E27" s="101"/>
      <c r="F27" s="102"/>
      <c r="G27" s="112" t="s">
        <v>45</v>
      </c>
      <c r="H27" s="100" t="s">
        <v>130</v>
      </c>
      <c r="I27" s="101"/>
      <c r="J27" s="101"/>
      <c r="K27" s="101"/>
      <c r="L27" s="102"/>
    </row>
    <row r="28" spans="1:12" s="90" customFormat="1" ht="12.75" customHeight="1">
      <c r="A28" s="112" t="s">
        <v>111</v>
      </c>
      <c r="B28" s="100" t="s">
        <v>106</v>
      </c>
      <c r="C28" s="106"/>
      <c r="D28" s="106"/>
      <c r="E28" s="106"/>
      <c r="F28" s="599"/>
      <c r="G28" s="112" t="s">
        <v>111</v>
      </c>
      <c r="H28" s="100" t="s">
        <v>131</v>
      </c>
      <c r="I28" s="106"/>
      <c r="J28" s="106"/>
      <c r="K28" s="106"/>
      <c r="L28" s="599"/>
    </row>
    <row r="29" spans="1:12" s="90" customFormat="1" ht="12.75" customHeight="1">
      <c r="A29" s="112" t="s">
        <v>112</v>
      </c>
      <c r="B29" s="100" t="s">
        <v>39</v>
      </c>
      <c r="C29" s="106"/>
      <c r="D29" s="106"/>
      <c r="E29" s="106"/>
      <c r="F29" s="599"/>
      <c r="G29" s="112" t="s">
        <v>112</v>
      </c>
      <c r="H29" s="100" t="s">
        <v>87</v>
      </c>
      <c r="I29" s="106"/>
      <c r="J29" s="106"/>
      <c r="K29" s="106"/>
      <c r="L29" s="599"/>
    </row>
    <row r="30" spans="1:12" s="90" customFormat="1" ht="12.75" customHeight="1">
      <c r="A30" s="112" t="s">
        <v>113</v>
      </c>
      <c r="B30" s="100" t="s">
        <v>201</v>
      </c>
      <c r="C30" s="106"/>
      <c r="D30" s="106"/>
      <c r="E30" s="106"/>
      <c r="F30" s="599"/>
      <c r="G30" s="112" t="s">
        <v>113</v>
      </c>
      <c r="H30" s="100" t="s">
        <v>90</v>
      </c>
      <c r="I30" s="106"/>
      <c r="J30" s="106"/>
      <c r="K30" s="106"/>
      <c r="L30" s="599"/>
    </row>
    <row r="31" spans="1:12" s="90" customFormat="1" ht="12.75" customHeight="1">
      <c r="A31" s="112" t="s">
        <v>56</v>
      </c>
      <c r="B31" s="100" t="s">
        <v>126</v>
      </c>
      <c r="C31" s="101">
        <v>3267000</v>
      </c>
      <c r="D31" s="101">
        <v>3267000</v>
      </c>
      <c r="E31" s="101">
        <v>0</v>
      </c>
      <c r="F31" s="102">
        <f>+E31/D31+IF(F31=0/0,0%)</f>
        <v>0</v>
      </c>
      <c r="G31" s="112" t="s">
        <v>56</v>
      </c>
      <c r="H31" s="100" t="s">
        <v>132</v>
      </c>
      <c r="I31" s="101"/>
      <c r="J31" s="101"/>
      <c r="K31" s="101"/>
      <c r="L31" s="102"/>
    </row>
    <row r="32" spans="1:12" s="90" customFormat="1" ht="12.75" customHeight="1">
      <c r="A32" s="99" t="s">
        <v>64</v>
      </c>
      <c r="B32" s="116" t="s">
        <v>127</v>
      </c>
      <c r="C32" s="101"/>
      <c r="D32" s="101"/>
      <c r="E32" s="101"/>
      <c r="F32" s="102"/>
      <c r="G32" s="99" t="s">
        <v>64</v>
      </c>
      <c r="H32" s="116" t="s">
        <v>133</v>
      </c>
      <c r="I32" s="101"/>
      <c r="J32" s="101"/>
      <c r="K32" s="101"/>
      <c r="L32" s="102"/>
    </row>
    <row r="33" spans="1:12" s="124" customFormat="1" ht="12.75" customHeight="1" thickBot="1">
      <c r="A33" s="117"/>
      <c r="B33" s="118" t="s">
        <v>148</v>
      </c>
      <c r="C33" s="88">
        <f>+C21+C27+C31+C32</f>
        <v>3267000</v>
      </c>
      <c r="D33" s="88">
        <f>+D21+D27+D31+D32</f>
        <v>3267000</v>
      </c>
      <c r="E33" s="88">
        <f>+E21+E27+E31+E32</f>
        <v>0</v>
      </c>
      <c r="F33" s="119">
        <f>+E33/D33+IF(F33=0/0,0%)</f>
        <v>0</v>
      </c>
      <c r="G33" s="117"/>
      <c r="H33" s="118" t="s">
        <v>149</v>
      </c>
      <c r="I33" s="88">
        <f>+I32+I31+I27+I21</f>
        <v>3267000</v>
      </c>
      <c r="J33" s="88">
        <f>+J32+J31+J27+J21</f>
        <v>3267000</v>
      </c>
      <c r="K33" s="88">
        <f>+K32+K31+K27+K21</f>
        <v>0</v>
      </c>
      <c r="L33" s="119">
        <f>+K33/J33</f>
        <v>0</v>
      </c>
    </row>
    <row r="34" spans="1:10" ht="12.75" customHeight="1">
      <c r="A34" s="83"/>
      <c r="B34" s="83"/>
      <c r="C34" s="637"/>
      <c r="D34" s="637"/>
      <c r="G34" s="83"/>
      <c r="I34" s="637"/>
      <c r="J34" s="637"/>
    </row>
    <row r="35" spans="1:12" s="90" customFormat="1" ht="12.75" customHeight="1" thickBot="1">
      <c r="A35" s="754" t="s">
        <v>222</v>
      </c>
      <c r="B35" s="754"/>
      <c r="C35" s="93"/>
      <c r="D35" s="93"/>
      <c r="E35" s="93"/>
      <c r="F35" s="93"/>
      <c r="G35" s="124"/>
      <c r="H35" s="124"/>
      <c r="I35" s="595"/>
      <c r="K35" s="93"/>
      <c r="L35" s="595" t="s">
        <v>216</v>
      </c>
    </row>
    <row r="36" spans="1:12" s="90" customFormat="1" ht="24.75" customHeight="1">
      <c r="A36" s="96"/>
      <c r="B36" s="97" t="s">
        <v>104</v>
      </c>
      <c r="C36" s="86" t="s">
        <v>227</v>
      </c>
      <c r="D36" s="86" t="s">
        <v>789</v>
      </c>
      <c r="E36" s="86" t="s">
        <v>303</v>
      </c>
      <c r="F36" s="87" t="s">
        <v>304</v>
      </c>
      <c r="G36" s="96">
        <v>17</v>
      </c>
      <c r="H36" s="97" t="s">
        <v>105</v>
      </c>
      <c r="I36" s="86" t="s">
        <v>227</v>
      </c>
      <c r="J36" s="86" t="s">
        <v>789</v>
      </c>
      <c r="K36" s="86" t="s">
        <v>303</v>
      </c>
      <c r="L36" s="87" t="s">
        <v>304</v>
      </c>
    </row>
    <row r="37" spans="1:12" s="90" customFormat="1" ht="12.75" customHeight="1">
      <c r="A37" s="99" t="s">
        <v>23</v>
      </c>
      <c r="B37" s="100" t="s">
        <v>108</v>
      </c>
      <c r="C37" s="101"/>
      <c r="D37" s="101"/>
      <c r="E37" s="101"/>
      <c r="F37" s="102"/>
      <c r="G37" s="99" t="s">
        <v>23</v>
      </c>
      <c r="H37" s="100" t="s">
        <v>129</v>
      </c>
      <c r="I37" s="101">
        <f>SUM(I38:I42)</f>
        <v>7015470</v>
      </c>
      <c r="J37" s="101">
        <f>SUM(J38:J42)</f>
        <v>7015470</v>
      </c>
      <c r="K37" s="101">
        <f>SUM(K38:K42)</f>
        <v>5805675</v>
      </c>
      <c r="L37" s="102">
        <f>+K37/J37</f>
        <v>0.8275532501742577</v>
      </c>
    </row>
    <row r="38" spans="1:12" s="90" customFormat="1" ht="12.75" customHeight="1">
      <c r="A38" s="99" t="s">
        <v>111</v>
      </c>
      <c r="B38" s="116" t="s">
        <v>209</v>
      </c>
      <c r="C38" s="106"/>
      <c r="D38" s="106"/>
      <c r="E38" s="106"/>
      <c r="F38" s="599"/>
      <c r="G38" s="99" t="s">
        <v>111</v>
      </c>
      <c r="H38" s="116" t="s">
        <v>80</v>
      </c>
      <c r="I38" s="106">
        <v>5970612</v>
      </c>
      <c r="J38" s="106">
        <v>5970612</v>
      </c>
      <c r="K38" s="106">
        <v>4941000</v>
      </c>
      <c r="L38" s="599">
        <f>+K38/J38</f>
        <v>0.8275533563393501</v>
      </c>
    </row>
    <row r="39" spans="1:12" s="90" customFormat="1" ht="12.75" customHeight="1">
      <c r="A39" s="99"/>
      <c r="B39" s="116" t="s">
        <v>210</v>
      </c>
      <c r="C39" s="106"/>
      <c r="D39" s="106"/>
      <c r="E39" s="106"/>
      <c r="F39" s="599"/>
      <c r="G39" s="99" t="s">
        <v>112</v>
      </c>
      <c r="H39" s="116" t="s">
        <v>147</v>
      </c>
      <c r="I39" s="106">
        <v>1044858</v>
      </c>
      <c r="J39" s="106">
        <v>1044858</v>
      </c>
      <c r="K39" s="106">
        <v>864675</v>
      </c>
      <c r="L39" s="599">
        <f>K39/J39</f>
        <v>0.8275526435171096</v>
      </c>
    </row>
    <row r="40" spans="1:12" s="90" customFormat="1" ht="12.75" customHeight="1">
      <c r="A40" s="99" t="s">
        <v>112</v>
      </c>
      <c r="B40" s="116" t="s">
        <v>9</v>
      </c>
      <c r="C40" s="106"/>
      <c r="D40" s="106"/>
      <c r="E40" s="106"/>
      <c r="F40" s="599"/>
      <c r="G40" s="99" t="s">
        <v>113</v>
      </c>
      <c r="H40" s="116" t="s">
        <v>83</v>
      </c>
      <c r="I40" s="106"/>
      <c r="J40" s="106"/>
      <c r="K40" s="106"/>
      <c r="L40" s="599"/>
    </row>
    <row r="41" spans="1:12" s="90" customFormat="1" ht="12.75" customHeight="1">
      <c r="A41" s="99" t="s">
        <v>113</v>
      </c>
      <c r="B41" s="116" t="s">
        <v>170</v>
      </c>
      <c r="C41" s="106"/>
      <c r="D41" s="106"/>
      <c r="E41" s="106"/>
      <c r="F41" s="599"/>
      <c r="G41" s="99" t="s">
        <v>114</v>
      </c>
      <c r="H41" s="116" t="s">
        <v>84</v>
      </c>
      <c r="I41" s="106"/>
      <c r="J41" s="106"/>
      <c r="K41" s="106"/>
      <c r="L41" s="599"/>
    </row>
    <row r="42" spans="1:12" s="90" customFormat="1" ht="12.75" customHeight="1">
      <c r="A42" s="99" t="s">
        <v>114</v>
      </c>
      <c r="B42" s="116" t="s">
        <v>181</v>
      </c>
      <c r="C42" s="106"/>
      <c r="D42" s="106"/>
      <c r="E42" s="106"/>
      <c r="F42" s="599"/>
      <c r="G42" s="99" t="s">
        <v>115</v>
      </c>
      <c r="H42" s="116" t="s">
        <v>211</v>
      </c>
      <c r="I42" s="106"/>
      <c r="J42" s="106"/>
      <c r="K42" s="106"/>
      <c r="L42" s="599"/>
    </row>
    <row r="43" spans="1:12" s="90" customFormat="1" ht="12.75" customHeight="1">
      <c r="A43" s="112" t="s">
        <v>45</v>
      </c>
      <c r="B43" s="100" t="s">
        <v>118</v>
      </c>
      <c r="C43" s="101"/>
      <c r="D43" s="101"/>
      <c r="E43" s="101"/>
      <c r="F43" s="102"/>
      <c r="G43" s="112" t="s">
        <v>45</v>
      </c>
      <c r="H43" s="100" t="s">
        <v>130</v>
      </c>
      <c r="I43" s="101"/>
      <c r="J43" s="101"/>
      <c r="K43" s="101"/>
      <c r="L43" s="102"/>
    </row>
    <row r="44" spans="1:12" s="90" customFormat="1" ht="12.75" customHeight="1">
      <c r="A44" s="112" t="s">
        <v>111</v>
      </c>
      <c r="B44" s="100" t="s">
        <v>106</v>
      </c>
      <c r="C44" s="106"/>
      <c r="D44" s="106"/>
      <c r="E44" s="106"/>
      <c r="F44" s="599"/>
      <c r="G44" s="112" t="s">
        <v>111</v>
      </c>
      <c r="H44" s="100" t="s">
        <v>131</v>
      </c>
      <c r="I44" s="106"/>
      <c r="J44" s="106"/>
      <c r="K44" s="106"/>
      <c r="L44" s="599"/>
    </row>
    <row r="45" spans="1:12" s="90" customFormat="1" ht="12.75" customHeight="1">
      <c r="A45" s="112" t="s">
        <v>112</v>
      </c>
      <c r="B45" s="100" t="s">
        <v>39</v>
      </c>
      <c r="C45" s="106"/>
      <c r="D45" s="106"/>
      <c r="E45" s="106"/>
      <c r="F45" s="599"/>
      <c r="G45" s="112" t="s">
        <v>112</v>
      </c>
      <c r="H45" s="100" t="s">
        <v>87</v>
      </c>
      <c r="I45" s="106"/>
      <c r="J45" s="106"/>
      <c r="K45" s="106"/>
      <c r="L45" s="599"/>
    </row>
    <row r="46" spans="1:12" s="90" customFormat="1" ht="12.75" customHeight="1">
      <c r="A46" s="112" t="s">
        <v>113</v>
      </c>
      <c r="B46" s="100" t="s">
        <v>201</v>
      </c>
      <c r="C46" s="106"/>
      <c r="D46" s="106"/>
      <c r="E46" s="106"/>
      <c r="F46" s="599"/>
      <c r="G46" s="112" t="s">
        <v>113</v>
      </c>
      <c r="H46" s="100" t="s">
        <v>90</v>
      </c>
      <c r="I46" s="106"/>
      <c r="J46" s="106"/>
      <c r="K46" s="106"/>
      <c r="L46" s="599"/>
    </row>
    <row r="47" spans="1:12" s="90" customFormat="1" ht="12.75" customHeight="1">
      <c r="A47" s="112" t="s">
        <v>56</v>
      </c>
      <c r="B47" s="100" t="s">
        <v>126</v>
      </c>
      <c r="C47" s="101">
        <v>7015470</v>
      </c>
      <c r="D47" s="101">
        <v>7015470</v>
      </c>
      <c r="E47" s="101">
        <v>0</v>
      </c>
      <c r="F47" s="102">
        <f>+E47/D47+IF(F47=0/0,0%)</f>
        <v>0</v>
      </c>
      <c r="G47" s="112" t="s">
        <v>56</v>
      </c>
      <c r="H47" s="100" t="s">
        <v>132</v>
      </c>
      <c r="I47" s="101"/>
      <c r="J47" s="101"/>
      <c r="K47" s="101"/>
      <c r="L47" s="102"/>
    </row>
    <row r="48" spans="1:12" s="90" customFormat="1" ht="12.75" customHeight="1">
      <c r="A48" s="99" t="s">
        <v>64</v>
      </c>
      <c r="B48" s="116" t="s">
        <v>127</v>
      </c>
      <c r="C48" s="101"/>
      <c r="D48" s="101"/>
      <c r="E48" s="101"/>
      <c r="F48" s="102"/>
      <c r="G48" s="99" t="s">
        <v>64</v>
      </c>
      <c r="H48" s="116" t="s">
        <v>133</v>
      </c>
      <c r="I48" s="101"/>
      <c r="J48" s="101"/>
      <c r="K48" s="101"/>
      <c r="L48" s="102"/>
    </row>
    <row r="49" spans="1:12" s="124" customFormat="1" ht="12.75" customHeight="1" thickBot="1">
      <c r="A49" s="117"/>
      <c r="B49" s="118" t="s">
        <v>148</v>
      </c>
      <c r="C49" s="88">
        <f>+C37+C43+C47+C48</f>
        <v>7015470</v>
      </c>
      <c r="D49" s="88">
        <f>+D37+D43+D47+D48</f>
        <v>7015470</v>
      </c>
      <c r="E49" s="88">
        <f>+E37+E43+E47+E48</f>
        <v>0</v>
      </c>
      <c r="F49" s="119">
        <f>+E49/D49+IF(F49=0/0,0%)</f>
        <v>0</v>
      </c>
      <c r="G49" s="117"/>
      <c r="H49" s="118" t="s">
        <v>149</v>
      </c>
      <c r="I49" s="88">
        <f>I37+I43+I47+I48</f>
        <v>7015470</v>
      </c>
      <c r="J49" s="88">
        <f>J37+J43+J47+J48</f>
        <v>7015470</v>
      </c>
      <c r="K49" s="88">
        <f>K37+K43+K47+K48</f>
        <v>5805675</v>
      </c>
      <c r="L49" s="119">
        <f>+K49/J49</f>
        <v>0.8275532501742577</v>
      </c>
    </row>
    <row r="50" spans="1:12" s="90" customFormat="1" ht="12.75" customHeight="1">
      <c r="A50" s="124"/>
      <c r="B50" s="124"/>
      <c r="C50" s="93"/>
      <c r="D50" s="93"/>
      <c r="E50" s="93"/>
      <c r="F50" s="93"/>
      <c r="G50" s="124"/>
      <c r="H50" s="124"/>
      <c r="I50" s="93"/>
      <c r="J50" s="93"/>
      <c r="K50" s="93"/>
      <c r="L50" s="93"/>
    </row>
    <row r="51" spans="1:12" s="90" customFormat="1" ht="12.75" customHeight="1" thickBot="1">
      <c r="A51" s="90" t="s">
        <v>246</v>
      </c>
      <c r="B51" s="124"/>
      <c r="C51" s="93"/>
      <c r="D51" s="93"/>
      <c r="E51" s="93"/>
      <c r="F51" s="93"/>
      <c r="G51" s="124"/>
      <c r="H51" s="124"/>
      <c r="I51" s="595"/>
      <c r="K51" s="93"/>
      <c r="L51" s="595" t="s">
        <v>216</v>
      </c>
    </row>
    <row r="52" spans="1:12" s="90" customFormat="1" ht="24.75" customHeight="1">
      <c r="A52" s="96"/>
      <c r="B52" s="97" t="s">
        <v>104</v>
      </c>
      <c r="C52" s="86" t="s">
        <v>227</v>
      </c>
      <c r="D52" s="86" t="s">
        <v>844</v>
      </c>
      <c r="E52" s="86" t="s">
        <v>303</v>
      </c>
      <c r="F52" s="87" t="s">
        <v>304</v>
      </c>
      <c r="G52" s="96">
        <v>23</v>
      </c>
      <c r="H52" s="97" t="s">
        <v>105</v>
      </c>
      <c r="I52" s="86" t="s">
        <v>227</v>
      </c>
      <c r="J52" s="86" t="s">
        <v>844</v>
      </c>
      <c r="K52" s="86" t="s">
        <v>303</v>
      </c>
      <c r="L52" s="87" t="s">
        <v>304</v>
      </c>
    </row>
    <row r="53" spans="1:12" s="90" customFormat="1" ht="12.75" customHeight="1">
      <c r="A53" s="99" t="s">
        <v>23</v>
      </c>
      <c r="B53" s="100" t="s">
        <v>108</v>
      </c>
      <c r="C53" s="101"/>
      <c r="D53" s="101">
        <f>D54</f>
        <v>2464287</v>
      </c>
      <c r="E53" s="101">
        <v>0</v>
      </c>
      <c r="F53" s="102">
        <f>E53/D53</f>
        <v>0</v>
      </c>
      <c r="G53" s="99" t="s">
        <v>23</v>
      </c>
      <c r="H53" s="100" t="s">
        <v>129</v>
      </c>
      <c r="I53" s="101">
        <f>SUM(I54:I58)</f>
        <v>28344565</v>
      </c>
      <c r="J53" s="101">
        <f>SUM(J54:J58)</f>
        <v>30808852</v>
      </c>
      <c r="K53" s="101">
        <f>SUM(K54:K58)</f>
        <v>16444609</v>
      </c>
      <c r="L53" s="102">
        <f>+K53/J53</f>
        <v>0.5337624719025558</v>
      </c>
    </row>
    <row r="54" spans="1:12" s="90" customFormat="1" ht="12.75" customHeight="1">
      <c r="A54" s="99" t="s">
        <v>111</v>
      </c>
      <c r="B54" s="116" t="s">
        <v>209</v>
      </c>
      <c r="C54" s="106"/>
      <c r="D54" s="106">
        <f>D55</f>
        <v>2464287</v>
      </c>
      <c r="E54" s="106">
        <v>0</v>
      </c>
      <c r="F54" s="599">
        <f>E54/D54</f>
        <v>0</v>
      </c>
      <c r="G54" s="99" t="s">
        <v>111</v>
      </c>
      <c r="H54" s="116" t="s">
        <v>80</v>
      </c>
      <c r="I54" s="106">
        <f>22039293+888461-130030</f>
        <v>22797724</v>
      </c>
      <c r="J54" s="106">
        <v>25262011</v>
      </c>
      <c r="K54" s="106">
        <v>13975223</v>
      </c>
      <c r="L54" s="599">
        <f>+K54/J54</f>
        <v>0.5532110250446807</v>
      </c>
    </row>
    <row r="55" spans="1:12" s="90" customFormat="1" ht="12.75" customHeight="1">
      <c r="A55" s="99"/>
      <c r="B55" s="116" t="s">
        <v>210</v>
      </c>
      <c r="C55" s="106"/>
      <c r="D55" s="106">
        <v>2464287</v>
      </c>
      <c r="E55" s="106">
        <v>0</v>
      </c>
      <c r="F55" s="599">
        <f>E55/D55</f>
        <v>0</v>
      </c>
      <c r="G55" s="99" t="s">
        <v>112</v>
      </c>
      <c r="H55" s="116" t="s">
        <v>147</v>
      </c>
      <c r="I55" s="106">
        <v>5416811</v>
      </c>
      <c r="J55" s="106">
        <v>5416811</v>
      </c>
      <c r="K55" s="106">
        <v>2339356</v>
      </c>
      <c r="L55" s="599">
        <f>+K55/J55</f>
        <v>0.43186960002850383</v>
      </c>
    </row>
    <row r="56" spans="1:12" s="90" customFormat="1" ht="12.75" customHeight="1">
      <c r="A56" s="99" t="s">
        <v>112</v>
      </c>
      <c r="B56" s="116" t="s">
        <v>9</v>
      </c>
      <c r="C56" s="106"/>
      <c r="D56" s="106"/>
      <c r="E56" s="106"/>
      <c r="F56" s="599"/>
      <c r="G56" s="99" t="s">
        <v>113</v>
      </c>
      <c r="H56" s="116" t="s">
        <v>83</v>
      </c>
      <c r="I56" s="106">
        <v>130030</v>
      </c>
      <c r="J56" s="106">
        <v>130030</v>
      </c>
      <c r="K56" s="106">
        <v>130030</v>
      </c>
      <c r="L56" s="599">
        <f>+K56/J56</f>
        <v>1</v>
      </c>
    </row>
    <row r="57" spans="1:12" s="90" customFormat="1" ht="12.75" customHeight="1">
      <c r="A57" s="99" t="s">
        <v>113</v>
      </c>
      <c r="B57" s="116" t="s">
        <v>170</v>
      </c>
      <c r="C57" s="106"/>
      <c r="D57" s="106"/>
      <c r="E57" s="106"/>
      <c r="F57" s="599"/>
      <c r="G57" s="99" t="s">
        <v>114</v>
      </c>
      <c r="H57" s="116" t="s">
        <v>84</v>
      </c>
      <c r="I57" s="106"/>
      <c r="J57" s="106"/>
      <c r="K57" s="106"/>
      <c r="L57" s="599"/>
    </row>
    <row r="58" spans="1:13" s="90" customFormat="1" ht="12.75" customHeight="1">
      <c r="A58" s="99" t="s">
        <v>114</v>
      </c>
      <c r="B58" s="116" t="s">
        <v>181</v>
      </c>
      <c r="C58" s="106"/>
      <c r="D58" s="106"/>
      <c r="E58" s="106"/>
      <c r="F58" s="599"/>
      <c r="G58" s="99" t="s">
        <v>115</v>
      </c>
      <c r="H58" s="116" t="s">
        <v>211</v>
      </c>
      <c r="I58" s="106"/>
      <c r="J58" s="106"/>
      <c r="K58" s="106"/>
      <c r="L58" s="599"/>
      <c r="M58" s="638"/>
    </row>
    <row r="59" spans="1:12" s="90" customFormat="1" ht="12.75" customHeight="1">
      <c r="A59" s="112" t="s">
        <v>45</v>
      </c>
      <c r="B59" s="100" t="s">
        <v>118</v>
      </c>
      <c r="C59" s="101"/>
      <c r="D59" s="101"/>
      <c r="E59" s="101"/>
      <c r="F59" s="102"/>
      <c r="G59" s="112" t="s">
        <v>45</v>
      </c>
      <c r="H59" s="100" t="s">
        <v>130</v>
      </c>
      <c r="I59" s="101"/>
      <c r="J59" s="101"/>
      <c r="K59" s="101"/>
      <c r="L59" s="102"/>
    </row>
    <row r="60" spans="1:12" s="90" customFormat="1" ht="12.75" customHeight="1">
      <c r="A60" s="112" t="s">
        <v>111</v>
      </c>
      <c r="B60" s="100" t="s">
        <v>106</v>
      </c>
      <c r="C60" s="106"/>
      <c r="D60" s="106"/>
      <c r="E60" s="106"/>
      <c r="F60" s="599"/>
      <c r="G60" s="112" t="s">
        <v>111</v>
      </c>
      <c r="H60" s="100" t="s">
        <v>131</v>
      </c>
      <c r="I60" s="106"/>
      <c r="J60" s="106"/>
      <c r="K60" s="106"/>
      <c r="L60" s="599"/>
    </row>
    <row r="61" spans="1:12" s="90" customFormat="1" ht="12.75" customHeight="1">
      <c r="A61" s="112" t="s">
        <v>112</v>
      </c>
      <c r="B61" s="100" t="s">
        <v>39</v>
      </c>
      <c r="C61" s="106"/>
      <c r="D61" s="106"/>
      <c r="E61" s="106"/>
      <c r="F61" s="599"/>
      <c r="G61" s="112" t="s">
        <v>112</v>
      </c>
      <c r="H61" s="100" t="s">
        <v>87</v>
      </c>
      <c r="I61" s="106"/>
      <c r="J61" s="106"/>
      <c r="K61" s="106"/>
      <c r="L61" s="599"/>
    </row>
    <row r="62" spans="1:12" s="90" customFormat="1" ht="12.75" customHeight="1">
      <c r="A62" s="112" t="s">
        <v>113</v>
      </c>
      <c r="B62" s="100" t="s">
        <v>201</v>
      </c>
      <c r="C62" s="106"/>
      <c r="D62" s="106"/>
      <c r="E62" s="106"/>
      <c r="F62" s="599"/>
      <c r="G62" s="112" t="s">
        <v>113</v>
      </c>
      <c r="H62" s="100" t="s">
        <v>90</v>
      </c>
      <c r="I62" s="106"/>
      <c r="J62" s="106"/>
      <c r="K62" s="106"/>
      <c r="L62" s="599"/>
    </row>
    <row r="63" spans="1:12" s="90" customFormat="1" ht="12.75" customHeight="1">
      <c r="A63" s="112" t="s">
        <v>56</v>
      </c>
      <c r="B63" s="100" t="s">
        <v>126</v>
      </c>
      <c r="C63" s="101">
        <v>28344565</v>
      </c>
      <c r="D63" s="101">
        <v>28344565</v>
      </c>
      <c r="E63" s="101">
        <v>28344565</v>
      </c>
      <c r="F63" s="102">
        <f>+E63/D63+IF(F63=0/0,0%)</f>
        <v>0</v>
      </c>
      <c r="G63" s="112" t="s">
        <v>56</v>
      </c>
      <c r="H63" s="100" t="s">
        <v>132</v>
      </c>
      <c r="I63" s="101"/>
      <c r="J63" s="101"/>
      <c r="K63" s="101"/>
      <c r="L63" s="102"/>
    </row>
    <row r="64" spans="1:12" s="90" customFormat="1" ht="12.75" customHeight="1">
      <c r="A64" s="99" t="s">
        <v>64</v>
      </c>
      <c r="B64" s="116" t="s">
        <v>127</v>
      </c>
      <c r="C64" s="101">
        <v>0</v>
      </c>
      <c r="D64" s="101"/>
      <c r="E64" s="101"/>
      <c r="F64" s="102"/>
      <c r="G64" s="99" t="s">
        <v>64</v>
      </c>
      <c r="H64" s="116" t="s">
        <v>133</v>
      </c>
      <c r="I64" s="101"/>
      <c r="J64" s="101"/>
      <c r="K64" s="101"/>
      <c r="L64" s="102"/>
    </row>
    <row r="65" spans="1:12" s="124" customFormat="1" ht="12.75" customHeight="1" thickBot="1">
      <c r="A65" s="117"/>
      <c r="B65" s="118" t="s">
        <v>148</v>
      </c>
      <c r="C65" s="88">
        <f>+C53+C59+C63+C64</f>
        <v>28344565</v>
      </c>
      <c r="D65" s="88">
        <f>+D53+D59+D63+D64</f>
        <v>30808852</v>
      </c>
      <c r="E65" s="88">
        <f>+E53+E59+E63+E64</f>
        <v>28344565</v>
      </c>
      <c r="F65" s="119">
        <f>+E65/D65</f>
        <v>0.9200136700971526</v>
      </c>
      <c r="G65" s="117"/>
      <c r="H65" s="118" t="s">
        <v>149</v>
      </c>
      <c r="I65" s="88">
        <f>+I53+I59+I63+I64</f>
        <v>28344565</v>
      </c>
      <c r="J65" s="88">
        <f>+J53+J59+J63+J64</f>
        <v>30808852</v>
      </c>
      <c r="K65" s="88">
        <f>+K53+K59+K63+K64</f>
        <v>16444609</v>
      </c>
      <c r="L65" s="119">
        <f>+K65/J65</f>
        <v>0.5337624719025558</v>
      </c>
    </row>
    <row r="66" spans="1:12" s="126" customFormat="1" ht="12.75" customHeight="1">
      <c r="A66" s="124"/>
      <c r="B66" s="124"/>
      <c r="C66" s="93"/>
      <c r="D66" s="93"/>
      <c r="E66" s="93"/>
      <c r="F66" s="93"/>
      <c r="G66" s="124"/>
      <c r="H66" s="124"/>
      <c r="I66" s="93"/>
      <c r="J66" s="93"/>
      <c r="K66" s="93"/>
      <c r="L66" s="93"/>
    </row>
    <row r="67" spans="1:12" s="90" customFormat="1" ht="12.75" customHeight="1" thickBot="1">
      <c r="A67" s="754" t="s">
        <v>245</v>
      </c>
      <c r="B67" s="754"/>
      <c r="C67" s="93"/>
      <c r="D67" s="93"/>
      <c r="E67" s="93"/>
      <c r="F67" s="93"/>
      <c r="G67" s="124"/>
      <c r="H67" s="124"/>
      <c r="I67" s="595"/>
      <c r="K67" s="93"/>
      <c r="L67" s="595" t="s">
        <v>216</v>
      </c>
    </row>
    <row r="68" spans="1:12" s="90" customFormat="1" ht="24.75" customHeight="1">
      <c r="A68" s="96"/>
      <c r="B68" s="97" t="s">
        <v>104</v>
      </c>
      <c r="C68" s="86" t="s">
        <v>227</v>
      </c>
      <c r="D68" s="86" t="s">
        <v>844</v>
      </c>
      <c r="E68" s="86" t="s">
        <v>303</v>
      </c>
      <c r="F68" s="87" t="s">
        <v>304</v>
      </c>
      <c r="G68" s="96">
        <v>24</v>
      </c>
      <c r="H68" s="97" t="s">
        <v>105</v>
      </c>
      <c r="I68" s="86" t="s">
        <v>227</v>
      </c>
      <c r="J68" s="86" t="s">
        <v>844</v>
      </c>
      <c r="K68" s="86" t="s">
        <v>303</v>
      </c>
      <c r="L68" s="87" t="s">
        <v>304</v>
      </c>
    </row>
    <row r="69" spans="1:12" s="90" customFormat="1" ht="12.75" customHeight="1">
      <c r="A69" s="99" t="s">
        <v>23</v>
      </c>
      <c r="B69" s="100" t="s">
        <v>108</v>
      </c>
      <c r="C69" s="101"/>
      <c r="D69" s="101"/>
      <c r="E69" s="101"/>
      <c r="F69" s="102"/>
      <c r="G69" s="99" t="s">
        <v>23</v>
      </c>
      <c r="H69" s="100" t="s">
        <v>129</v>
      </c>
      <c r="I69" s="101">
        <f>SUM(I70:I74)</f>
        <v>117313</v>
      </c>
      <c r="J69" s="101">
        <f>SUM(J70:J74)</f>
        <v>117313</v>
      </c>
      <c r="K69" s="101">
        <f>SUM(K70:K74)</f>
        <v>0</v>
      </c>
      <c r="L69" s="102">
        <f>+K69/J69</f>
        <v>0</v>
      </c>
    </row>
    <row r="70" spans="1:12" s="90" customFormat="1" ht="12.75" customHeight="1">
      <c r="A70" s="99" t="s">
        <v>111</v>
      </c>
      <c r="B70" s="116" t="s">
        <v>209</v>
      </c>
      <c r="C70" s="106"/>
      <c r="D70" s="106"/>
      <c r="E70" s="106"/>
      <c r="F70" s="599"/>
      <c r="G70" s="99" t="s">
        <v>111</v>
      </c>
      <c r="H70" s="116" t="s">
        <v>80</v>
      </c>
      <c r="I70" s="106">
        <v>6120</v>
      </c>
      <c r="J70" s="106">
        <v>6120</v>
      </c>
      <c r="K70" s="106">
        <v>0</v>
      </c>
      <c r="L70" s="599">
        <f>+K70/J70</f>
        <v>0</v>
      </c>
    </row>
    <row r="71" spans="1:12" s="90" customFormat="1" ht="12.75" customHeight="1">
      <c r="A71" s="99"/>
      <c r="B71" s="116" t="s">
        <v>210</v>
      </c>
      <c r="C71" s="106"/>
      <c r="D71" s="106"/>
      <c r="E71" s="106"/>
      <c r="F71" s="599"/>
      <c r="G71" s="99" t="s">
        <v>112</v>
      </c>
      <c r="H71" s="116" t="s">
        <v>147</v>
      </c>
      <c r="I71" s="106">
        <v>1193</v>
      </c>
      <c r="J71" s="106">
        <v>1193</v>
      </c>
      <c r="K71" s="106">
        <v>0</v>
      </c>
      <c r="L71" s="599">
        <f>+K71/J71</f>
        <v>0</v>
      </c>
    </row>
    <row r="72" spans="1:12" s="90" customFormat="1" ht="12.75" customHeight="1">
      <c r="A72" s="99" t="s">
        <v>112</v>
      </c>
      <c r="B72" s="116" t="s">
        <v>9</v>
      </c>
      <c r="C72" s="106"/>
      <c r="D72" s="106"/>
      <c r="E72" s="106"/>
      <c r="F72" s="599"/>
      <c r="G72" s="99" t="s">
        <v>113</v>
      </c>
      <c r="H72" s="116" t="s">
        <v>83</v>
      </c>
      <c r="I72" s="106"/>
      <c r="J72" s="106"/>
      <c r="K72" s="106"/>
      <c r="L72" s="599"/>
    </row>
    <row r="73" spans="1:12" s="90" customFormat="1" ht="12.75" customHeight="1">
      <c r="A73" s="99" t="s">
        <v>113</v>
      </c>
      <c r="B73" s="116" t="s">
        <v>170</v>
      </c>
      <c r="C73" s="106"/>
      <c r="D73" s="106"/>
      <c r="E73" s="106"/>
      <c r="F73" s="599"/>
      <c r="G73" s="99" t="s">
        <v>114</v>
      </c>
      <c r="H73" s="116" t="s">
        <v>84</v>
      </c>
      <c r="I73" s="106"/>
      <c r="J73" s="106"/>
      <c r="K73" s="106"/>
      <c r="L73" s="599"/>
    </row>
    <row r="74" spans="1:12" s="90" customFormat="1" ht="12.75" customHeight="1">
      <c r="A74" s="99" t="s">
        <v>114</v>
      </c>
      <c r="B74" s="116" t="s">
        <v>181</v>
      </c>
      <c r="C74" s="106"/>
      <c r="D74" s="106"/>
      <c r="E74" s="106"/>
      <c r="F74" s="599"/>
      <c r="G74" s="99" t="s">
        <v>115</v>
      </c>
      <c r="H74" s="116" t="s">
        <v>211</v>
      </c>
      <c r="I74" s="106">
        <v>110000</v>
      </c>
      <c r="J74" s="106">
        <v>110000</v>
      </c>
      <c r="K74" s="106">
        <v>0</v>
      </c>
      <c r="L74" s="599">
        <f>+K74/J74+IF(L74=0/0,0%)</f>
        <v>0</v>
      </c>
    </row>
    <row r="75" spans="1:12" s="90" customFormat="1" ht="12.75" customHeight="1">
      <c r="A75" s="112" t="s">
        <v>45</v>
      </c>
      <c r="B75" s="100" t="s">
        <v>118</v>
      </c>
      <c r="C75" s="101"/>
      <c r="D75" s="101"/>
      <c r="E75" s="101"/>
      <c r="F75" s="102"/>
      <c r="G75" s="112" t="s">
        <v>45</v>
      </c>
      <c r="H75" s="100" t="s">
        <v>130</v>
      </c>
      <c r="I75" s="101"/>
      <c r="J75" s="101"/>
      <c r="K75" s="101"/>
      <c r="L75" s="102"/>
    </row>
    <row r="76" spans="1:12" s="90" customFormat="1" ht="12.75" customHeight="1">
      <c r="A76" s="112" t="s">
        <v>111</v>
      </c>
      <c r="B76" s="100" t="s">
        <v>106</v>
      </c>
      <c r="C76" s="106"/>
      <c r="D76" s="106"/>
      <c r="E76" s="106"/>
      <c r="F76" s="599"/>
      <c r="G76" s="112" t="s">
        <v>111</v>
      </c>
      <c r="H76" s="100" t="s">
        <v>131</v>
      </c>
      <c r="I76" s="106"/>
      <c r="J76" s="106"/>
      <c r="K76" s="106"/>
      <c r="L76" s="599"/>
    </row>
    <row r="77" spans="1:12" s="90" customFormat="1" ht="12.75" customHeight="1">
      <c r="A77" s="112" t="s">
        <v>112</v>
      </c>
      <c r="B77" s="100" t="s">
        <v>39</v>
      </c>
      <c r="C77" s="106"/>
      <c r="D77" s="106"/>
      <c r="E77" s="106"/>
      <c r="F77" s="599"/>
      <c r="G77" s="112" t="s">
        <v>112</v>
      </c>
      <c r="H77" s="100" t="s">
        <v>87</v>
      </c>
      <c r="I77" s="106"/>
      <c r="J77" s="106"/>
      <c r="K77" s="106"/>
      <c r="L77" s="599"/>
    </row>
    <row r="78" spans="1:12" s="90" customFormat="1" ht="12.75" customHeight="1">
      <c r="A78" s="112" t="s">
        <v>113</v>
      </c>
      <c r="B78" s="100" t="s">
        <v>201</v>
      </c>
      <c r="C78" s="106"/>
      <c r="D78" s="106"/>
      <c r="E78" s="106"/>
      <c r="F78" s="599"/>
      <c r="G78" s="112" t="s">
        <v>113</v>
      </c>
      <c r="H78" s="100" t="s">
        <v>90</v>
      </c>
      <c r="I78" s="106"/>
      <c r="J78" s="106"/>
      <c r="K78" s="106"/>
      <c r="L78" s="599"/>
    </row>
    <row r="79" spans="1:12" s="90" customFormat="1" ht="12.75" customHeight="1">
      <c r="A79" s="112" t="s">
        <v>56</v>
      </c>
      <c r="B79" s="100" t="s">
        <v>126</v>
      </c>
      <c r="C79" s="101">
        <v>117313</v>
      </c>
      <c r="D79" s="101">
        <v>117313</v>
      </c>
      <c r="E79" s="101">
        <v>117313</v>
      </c>
      <c r="F79" s="102">
        <f>+E79/D79</f>
        <v>1</v>
      </c>
      <c r="G79" s="112" t="s">
        <v>56</v>
      </c>
      <c r="H79" s="100" t="s">
        <v>132</v>
      </c>
      <c r="I79" s="101"/>
      <c r="J79" s="101"/>
      <c r="K79" s="101"/>
      <c r="L79" s="102"/>
    </row>
    <row r="80" spans="1:12" s="90" customFormat="1" ht="12.75" customHeight="1">
      <c r="A80" s="99" t="s">
        <v>64</v>
      </c>
      <c r="B80" s="116" t="s">
        <v>127</v>
      </c>
      <c r="C80" s="101"/>
      <c r="D80" s="101"/>
      <c r="E80" s="101"/>
      <c r="F80" s="102"/>
      <c r="G80" s="99" t="s">
        <v>64</v>
      </c>
      <c r="H80" s="116" t="s">
        <v>133</v>
      </c>
      <c r="I80" s="101"/>
      <c r="J80" s="101"/>
      <c r="K80" s="101"/>
      <c r="L80" s="102"/>
    </row>
    <row r="81" spans="1:12" s="124" customFormat="1" ht="12.75" customHeight="1" thickBot="1">
      <c r="A81" s="117"/>
      <c r="B81" s="118" t="s">
        <v>148</v>
      </c>
      <c r="C81" s="88">
        <f>+C69+C75+C79+C80</f>
        <v>117313</v>
      </c>
      <c r="D81" s="88">
        <f>+D69+D75+D79+D80</f>
        <v>117313</v>
      </c>
      <c r="E81" s="88">
        <f>+E69+E75+E79+E80</f>
        <v>117313</v>
      </c>
      <c r="F81" s="119">
        <f>+E81/D81</f>
        <v>1</v>
      </c>
      <c r="G81" s="117"/>
      <c r="H81" s="118" t="s">
        <v>149</v>
      </c>
      <c r="I81" s="88">
        <f>I69+I75+I79+I80</f>
        <v>117313</v>
      </c>
      <c r="J81" s="88">
        <f>J69+J75+J79+J80</f>
        <v>117313</v>
      </c>
      <c r="K81" s="88">
        <f>K69+K75+K79+K80</f>
        <v>0</v>
      </c>
      <c r="L81" s="119">
        <f>+K81/J81</f>
        <v>0</v>
      </c>
    </row>
    <row r="82" spans="1:12" s="126" customFormat="1" ht="21.75" customHeight="1">
      <c r="A82" s="124"/>
      <c r="B82" s="124"/>
      <c r="C82" s="93"/>
      <c r="D82" s="93"/>
      <c r="E82" s="93"/>
      <c r="F82" s="93"/>
      <c r="G82" s="124"/>
      <c r="H82" s="124"/>
      <c r="I82" s="93"/>
      <c r="J82" s="93"/>
      <c r="K82" s="93"/>
      <c r="L82" s="93"/>
    </row>
    <row r="83" spans="1:12" s="90" customFormat="1" ht="12.75" customHeight="1" thickBot="1">
      <c r="A83" s="90" t="s">
        <v>244</v>
      </c>
      <c r="B83" s="124"/>
      <c r="C83" s="93"/>
      <c r="D83" s="93"/>
      <c r="E83" s="93"/>
      <c r="F83" s="93"/>
      <c r="G83" s="124"/>
      <c r="H83" s="124"/>
      <c r="I83" s="595"/>
      <c r="K83" s="93"/>
      <c r="L83" s="595" t="s">
        <v>216</v>
      </c>
    </row>
    <row r="84" spans="1:12" s="90" customFormat="1" ht="24.75" customHeight="1">
      <c r="A84" s="96"/>
      <c r="B84" s="97" t="s">
        <v>104</v>
      </c>
      <c r="C84" s="86" t="s">
        <v>788</v>
      </c>
      <c r="D84" s="86" t="s">
        <v>789</v>
      </c>
      <c r="E84" s="86" t="s">
        <v>303</v>
      </c>
      <c r="F84" s="87" t="s">
        <v>304</v>
      </c>
      <c r="G84" s="96">
        <v>25</v>
      </c>
      <c r="H84" s="97" t="s">
        <v>105</v>
      </c>
      <c r="I84" s="86" t="s">
        <v>788</v>
      </c>
      <c r="J84" s="86" t="s">
        <v>789</v>
      </c>
      <c r="K84" s="86" t="s">
        <v>303</v>
      </c>
      <c r="L84" s="87" t="s">
        <v>304</v>
      </c>
    </row>
    <row r="85" spans="1:12" s="90" customFormat="1" ht="12.75" customHeight="1">
      <c r="A85" s="99" t="s">
        <v>23</v>
      </c>
      <c r="B85" s="100" t="s">
        <v>108</v>
      </c>
      <c r="C85" s="101"/>
      <c r="D85" s="101"/>
      <c r="E85" s="101"/>
      <c r="F85" s="102"/>
      <c r="G85" s="99" t="s">
        <v>23</v>
      </c>
      <c r="H85" s="100" t="s">
        <v>129</v>
      </c>
      <c r="I85" s="101">
        <f>SUM(I86:I90)</f>
        <v>1700200</v>
      </c>
      <c r="J85" s="101">
        <f>SUM(J86:J90)</f>
        <v>1700200</v>
      </c>
      <c r="K85" s="101">
        <f>SUM(K86:K90)</f>
        <v>1700200</v>
      </c>
      <c r="L85" s="102">
        <f>+K85/J85</f>
        <v>1</v>
      </c>
    </row>
    <row r="86" spans="1:12" s="90" customFormat="1" ht="12.75" customHeight="1">
      <c r="A86" s="99" t="s">
        <v>111</v>
      </c>
      <c r="B86" s="116" t="s">
        <v>209</v>
      </c>
      <c r="C86" s="106"/>
      <c r="D86" s="106"/>
      <c r="E86" s="106"/>
      <c r="F86" s="599"/>
      <c r="G86" s="99" t="s">
        <v>111</v>
      </c>
      <c r="H86" s="116" t="s">
        <v>80</v>
      </c>
      <c r="I86" s="106"/>
      <c r="J86" s="106"/>
      <c r="K86" s="106"/>
      <c r="L86" s="599"/>
    </row>
    <row r="87" spans="1:12" s="90" customFormat="1" ht="12.75" customHeight="1">
      <c r="A87" s="99"/>
      <c r="B87" s="116" t="s">
        <v>210</v>
      </c>
      <c r="C87" s="106"/>
      <c r="D87" s="106"/>
      <c r="E87" s="106"/>
      <c r="F87" s="599"/>
      <c r="G87" s="99" t="s">
        <v>112</v>
      </c>
      <c r="H87" s="116" t="s">
        <v>147</v>
      </c>
      <c r="I87" s="106"/>
      <c r="J87" s="106"/>
      <c r="K87" s="106"/>
      <c r="L87" s="599"/>
    </row>
    <row r="88" spans="1:12" s="90" customFormat="1" ht="12.75" customHeight="1">
      <c r="A88" s="99" t="s">
        <v>112</v>
      </c>
      <c r="B88" s="116" t="s">
        <v>9</v>
      </c>
      <c r="C88" s="106"/>
      <c r="D88" s="106"/>
      <c r="E88" s="106"/>
      <c r="F88" s="599"/>
      <c r="G88" s="99" t="s">
        <v>113</v>
      </c>
      <c r="H88" s="116" t="s">
        <v>83</v>
      </c>
      <c r="I88" s="106"/>
      <c r="J88" s="106"/>
      <c r="K88" s="106"/>
      <c r="L88" s="599"/>
    </row>
    <row r="89" spans="1:12" s="90" customFormat="1" ht="12.75" customHeight="1">
      <c r="A89" s="99" t="s">
        <v>113</v>
      </c>
      <c r="B89" s="116" t="s">
        <v>170</v>
      </c>
      <c r="C89" s="106"/>
      <c r="D89" s="106"/>
      <c r="E89" s="106"/>
      <c r="F89" s="599"/>
      <c r="G89" s="99" t="s">
        <v>114</v>
      </c>
      <c r="H89" s="116" t="s">
        <v>84</v>
      </c>
      <c r="I89" s="106"/>
      <c r="J89" s="106"/>
      <c r="K89" s="106"/>
      <c r="L89" s="599"/>
    </row>
    <row r="90" spans="1:12" s="90" customFormat="1" ht="12.75" customHeight="1">
      <c r="A90" s="99" t="s">
        <v>114</v>
      </c>
      <c r="B90" s="116" t="s">
        <v>181</v>
      </c>
      <c r="C90" s="106"/>
      <c r="D90" s="106"/>
      <c r="E90" s="106"/>
      <c r="F90" s="599"/>
      <c r="G90" s="99" t="s">
        <v>115</v>
      </c>
      <c r="H90" s="116" t="s">
        <v>211</v>
      </c>
      <c r="I90" s="106">
        <v>1700200</v>
      </c>
      <c r="J90" s="106">
        <v>1700200</v>
      </c>
      <c r="K90" s="106">
        <v>1700200</v>
      </c>
      <c r="L90" s="599">
        <f>K90/J90</f>
        <v>1</v>
      </c>
    </row>
    <row r="91" spans="1:12" s="90" customFormat="1" ht="12.75" customHeight="1">
      <c r="A91" s="112" t="s">
        <v>45</v>
      </c>
      <c r="B91" s="100" t="s">
        <v>118</v>
      </c>
      <c r="C91" s="101"/>
      <c r="D91" s="101"/>
      <c r="E91" s="101"/>
      <c r="F91" s="102"/>
      <c r="G91" s="112" t="s">
        <v>45</v>
      </c>
      <c r="H91" s="100" t="s">
        <v>130</v>
      </c>
      <c r="I91" s="101"/>
      <c r="J91" s="101"/>
      <c r="K91" s="101"/>
      <c r="L91" s="102"/>
    </row>
    <row r="92" spans="1:12" s="90" customFormat="1" ht="12.75" customHeight="1">
      <c r="A92" s="112" t="s">
        <v>111</v>
      </c>
      <c r="B92" s="100" t="s">
        <v>106</v>
      </c>
      <c r="C92" s="106"/>
      <c r="D92" s="106"/>
      <c r="E92" s="106"/>
      <c r="F92" s="599"/>
      <c r="G92" s="112" t="s">
        <v>111</v>
      </c>
      <c r="H92" s="100" t="s">
        <v>131</v>
      </c>
      <c r="I92" s="106"/>
      <c r="J92" s="106"/>
      <c r="K92" s="106"/>
      <c r="L92" s="599"/>
    </row>
    <row r="93" spans="1:12" s="90" customFormat="1" ht="12.75" customHeight="1">
      <c r="A93" s="112" t="s">
        <v>112</v>
      </c>
      <c r="B93" s="100" t="s">
        <v>39</v>
      </c>
      <c r="C93" s="106"/>
      <c r="D93" s="106"/>
      <c r="E93" s="106"/>
      <c r="F93" s="599"/>
      <c r="G93" s="112" t="s">
        <v>112</v>
      </c>
      <c r="H93" s="100" t="s">
        <v>87</v>
      </c>
      <c r="I93" s="106"/>
      <c r="J93" s="106"/>
      <c r="K93" s="106"/>
      <c r="L93" s="599"/>
    </row>
    <row r="94" spans="1:12" s="90" customFormat="1" ht="12.75" customHeight="1">
      <c r="A94" s="112" t="s">
        <v>113</v>
      </c>
      <c r="B94" s="100" t="s">
        <v>201</v>
      </c>
      <c r="C94" s="106"/>
      <c r="D94" s="106"/>
      <c r="E94" s="106"/>
      <c r="F94" s="599"/>
      <c r="G94" s="112" t="s">
        <v>113</v>
      </c>
      <c r="H94" s="100" t="s">
        <v>90</v>
      </c>
      <c r="I94" s="106"/>
      <c r="J94" s="106"/>
      <c r="K94" s="106"/>
      <c r="L94" s="599"/>
    </row>
    <row r="95" spans="1:12" s="90" customFormat="1" ht="12.75" customHeight="1">
      <c r="A95" s="112" t="s">
        <v>56</v>
      </c>
      <c r="B95" s="100" t="s">
        <v>126</v>
      </c>
      <c r="C95" s="101">
        <v>1700200</v>
      </c>
      <c r="D95" s="101">
        <v>1700200</v>
      </c>
      <c r="E95" s="101">
        <v>1700200</v>
      </c>
      <c r="F95" s="102">
        <f>+E95/D95</f>
        <v>1</v>
      </c>
      <c r="G95" s="112" t="s">
        <v>56</v>
      </c>
      <c r="H95" s="100" t="s">
        <v>132</v>
      </c>
      <c r="I95" s="101"/>
      <c r="J95" s="101"/>
      <c r="K95" s="101"/>
      <c r="L95" s="102"/>
    </row>
    <row r="96" spans="1:12" s="90" customFormat="1" ht="12.75" customHeight="1">
      <c r="A96" s="99" t="s">
        <v>64</v>
      </c>
      <c r="B96" s="116" t="s">
        <v>127</v>
      </c>
      <c r="C96" s="101"/>
      <c r="D96" s="101"/>
      <c r="E96" s="101"/>
      <c r="F96" s="102"/>
      <c r="G96" s="99" t="s">
        <v>64</v>
      </c>
      <c r="H96" s="116" t="s">
        <v>133</v>
      </c>
      <c r="I96" s="101"/>
      <c r="J96" s="101"/>
      <c r="K96" s="101"/>
      <c r="L96" s="102"/>
    </row>
    <row r="97" spans="1:12" s="594" customFormat="1" ht="12.75" customHeight="1" thickBot="1">
      <c r="A97" s="117"/>
      <c r="B97" s="118" t="s">
        <v>148</v>
      </c>
      <c r="C97" s="88">
        <f>+C85+C91+C95+C96</f>
        <v>1700200</v>
      </c>
      <c r="D97" s="88">
        <f>+D85+D91+D95+D96</f>
        <v>1700200</v>
      </c>
      <c r="E97" s="88">
        <f>+E85+E91+E95+E96</f>
        <v>1700200</v>
      </c>
      <c r="F97" s="119">
        <f>+E97/D97</f>
        <v>1</v>
      </c>
      <c r="G97" s="117"/>
      <c r="H97" s="118" t="s">
        <v>149</v>
      </c>
      <c r="I97" s="88">
        <f>I85+I91+I95+I96</f>
        <v>1700200</v>
      </c>
      <c r="J97" s="88">
        <f>J85+J91+J95+J96</f>
        <v>1700200</v>
      </c>
      <c r="K97" s="88">
        <f>K85+K91+K95+K96</f>
        <v>1700200</v>
      </c>
      <c r="L97" s="119">
        <f>+K97/J97</f>
        <v>1</v>
      </c>
    </row>
    <row r="98" spans="1:12" s="126" customFormat="1" ht="12.75" customHeight="1">
      <c r="A98" s="124"/>
      <c r="B98" s="124"/>
      <c r="C98" s="93"/>
      <c r="D98" s="93"/>
      <c r="E98" s="93"/>
      <c r="F98" s="93"/>
      <c r="G98" s="124"/>
      <c r="H98" s="124"/>
      <c r="I98" s="93"/>
      <c r="J98" s="93"/>
      <c r="K98" s="93"/>
      <c r="L98" s="93"/>
    </row>
    <row r="99" spans="1:12" s="90" customFormat="1" ht="12.75" customHeight="1" thickBot="1">
      <c r="A99" s="90" t="s">
        <v>243</v>
      </c>
      <c r="B99" s="124"/>
      <c r="C99" s="93"/>
      <c r="D99" s="93"/>
      <c r="E99" s="93"/>
      <c r="F99" s="93"/>
      <c r="G99" s="124"/>
      <c r="H99" s="124"/>
      <c r="I99" s="595"/>
      <c r="J99" s="595"/>
      <c r="K99" s="93"/>
      <c r="L99" s="595" t="s">
        <v>216</v>
      </c>
    </row>
    <row r="100" spans="1:12" s="90" customFormat="1" ht="24.75" customHeight="1">
      <c r="A100" s="96"/>
      <c r="B100" s="97" t="s">
        <v>104</v>
      </c>
      <c r="C100" s="86" t="s">
        <v>227</v>
      </c>
      <c r="D100" s="86" t="s">
        <v>844</v>
      </c>
      <c r="E100" s="86" t="s">
        <v>303</v>
      </c>
      <c r="F100" s="87" t="s">
        <v>304</v>
      </c>
      <c r="G100" s="96">
        <v>26</v>
      </c>
      <c r="H100" s="97" t="s">
        <v>105</v>
      </c>
      <c r="I100" s="86" t="s">
        <v>227</v>
      </c>
      <c r="J100" s="86" t="s">
        <v>844</v>
      </c>
      <c r="K100" s="86" t="s">
        <v>303</v>
      </c>
      <c r="L100" s="87" t="s">
        <v>304</v>
      </c>
    </row>
    <row r="101" spans="1:12" s="90" customFormat="1" ht="12.75" customHeight="1">
      <c r="A101" s="99" t="s">
        <v>23</v>
      </c>
      <c r="B101" s="100" t="s">
        <v>108</v>
      </c>
      <c r="C101" s="101"/>
      <c r="D101" s="101"/>
      <c r="E101" s="101"/>
      <c r="F101" s="102"/>
      <c r="G101" s="99" t="s">
        <v>23</v>
      </c>
      <c r="H101" s="100" t="s">
        <v>129</v>
      </c>
      <c r="I101" s="101">
        <f>SUM(I102:I106)</f>
        <v>3743652</v>
      </c>
      <c r="J101" s="101">
        <f>SUM(J102:J106)</f>
        <v>3743652</v>
      </c>
      <c r="K101" s="101">
        <f>SUM(K102:K106)</f>
        <v>2320022</v>
      </c>
      <c r="L101" s="102">
        <f>+K101/J101</f>
        <v>0.61972159805452</v>
      </c>
    </row>
    <row r="102" spans="1:12" s="90" customFormat="1" ht="12.75" customHeight="1">
      <c r="A102" s="99" t="s">
        <v>111</v>
      </c>
      <c r="B102" s="116" t="s">
        <v>209</v>
      </c>
      <c r="C102" s="106"/>
      <c r="D102" s="106"/>
      <c r="E102" s="106"/>
      <c r="F102" s="599"/>
      <c r="G102" s="99" t="s">
        <v>111</v>
      </c>
      <c r="H102" s="116" t="s">
        <v>80</v>
      </c>
      <c r="I102" s="106">
        <v>1641585</v>
      </c>
      <c r="J102" s="106">
        <v>1641585</v>
      </c>
      <c r="K102" s="106">
        <v>1641585</v>
      </c>
      <c r="L102" s="599">
        <f>+K102/J102</f>
        <v>1</v>
      </c>
    </row>
    <row r="103" spans="1:12" s="90" customFormat="1" ht="12.75" customHeight="1">
      <c r="A103" s="99"/>
      <c r="B103" s="116" t="s">
        <v>210</v>
      </c>
      <c r="C103" s="106"/>
      <c r="D103" s="106"/>
      <c r="E103" s="106"/>
      <c r="F103" s="599"/>
      <c r="G103" s="99" t="s">
        <v>112</v>
      </c>
      <c r="H103" s="116" t="s">
        <v>147</v>
      </c>
      <c r="I103" s="106">
        <v>287277</v>
      </c>
      <c r="J103" s="106">
        <v>287277</v>
      </c>
      <c r="K103" s="106">
        <v>287277</v>
      </c>
      <c r="L103" s="599">
        <f>+K103/J103</f>
        <v>1</v>
      </c>
    </row>
    <row r="104" spans="1:12" s="90" customFormat="1" ht="12.75" customHeight="1">
      <c r="A104" s="99" t="s">
        <v>112</v>
      </c>
      <c r="B104" s="116" t="s">
        <v>9</v>
      </c>
      <c r="C104" s="106"/>
      <c r="D104" s="106"/>
      <c r="E104" s="106"/>
      <c r="F104" s="599"/>
      <c r="G104" s="99" t="s">
        <v>113</v>
      </c>
      <c r="H104" s="116" t="s">
        <v>83</v>
      </c>
      <c r="I104" s="106">
        <f>387790+1427000</f>
        <v>1814790</v>
      </c>
      <c r="J104" s="106">
        <f>387790+1427000</f>
        <v>1814790</v>
      </c>
      <c r="K104" s="106">
        <v>391160</v>
      </c>
      <c r="L104" s="599">
        <f>+K104/J104</f>
        <v>0.21554009003796581</v>
      </c>
    </row>
    <row r="105" spans="1:12" s="90" customFormat="1" ht="12.75" customHeight="1">
      <c r="A105" s="99" t="s">
        <v>113</v>
      </c>
      <c r="B105" s="116" t="s">
        <v>170</v>
      </c>
      <c r="C105" s="106"/>
      <c r="D105" s="106"/>
      <c r="E105" s="106"/>
      <c r="F105" s="599"/>
      <c r="G105" s="99" t="s">
        <v>114</v>
      </c>
      <c r="H105" s="116" t="s">
        <v>84</v>
      </c>
      <c r="I105" s="106"/>
      <c r="J105" s="106"/>
      <c r="K105" s="106"/>
      <c r="L105" s="599"/>
    </row>
    <row r="106" spans="1:12" s="90" customFormat="1" ht="12.75" customHeight="1">
      <c r="A106" s="99" t="s">
        <v>114</v>
      </c>
      <c r="B106" s="116" t="s">
        <v>181</v>
      </c>
      <c r="C106" s="106"/>
      <c r="D106" s="106"/>
      <c r="E106" s="106"/>
      <c r="F106" s="599"/>
      <c r="G106" s="99" t="s">
        <v>115</v>
      </c>
      <c r="H106" s="116" t="s">
        <v>211</v>
      </c>
      <c r="I106" s="106"/>
      <c r="J106" s="106"/>
      <c r="K106" s="106"/>
      <c r="L106" s="599"/>
    </row>
    <row r="107" spans="1:12" s="90" customFormat="1" ht="12.75" customHeight="1">
      <c r="A107" s="112" t="s">
        <v>45</v>
      </c>
      <c r="B107" s="100" t="s">
        <v>118</v>
      </c>
      <c r="C107" s="101"/>
      <c r="D107" s="101"/>
      <c r="E107" s="101"/>
      <c r="F107" s="102"/>
      <c r="G107" s="112" t="s">
        <v>45</v>
      </c>
      <c r="H107" s="100" t="s">
        <v>130</v>
      </c>
      <c r="I107" s="101"/>
      <c r="J107" s="101"/>
      <c r="K107" s="101"/>
      <c r="L107" s="102"/>
    </row>
    <row r="108" spans="1:12" s="90" customFormat="1" ht="12.75" customHeight="1">
      <c r="A108" s="112" t="s">
        <v>111</v>
      </c>
      <c r="B108" s="100" t="s">
        <v>106</v>
      </c>
      <c r="C108" s="106"/>
      <c r="D108" s="106"/>
      <c r="E108" s="106"/>
      <c r="F108" s="599"/>
      <c r="G108" s="112" t="s">
        <v>111</v>
      </c>
      <c r="H108" s="100" t="s">
        <v>131</v>
      </c>
      <c r="I108" s="106"/>
      <c r="J108" s="106"/>
      <c r="K108" s="106"/>
      <c r="L108" s="599"/>
    </row>
    <row r="109" spans="1:12" s="90" customFormat="1" ht="12.75" customHeight="1">
      <c r="A109" s="112" t="s">
        <v>112</v>
      </c>
      <c r="B109" s="100" t="s">
        <v>39</v>
      </c>
      <c r="C109" s="106"/>
      <c r="D109" s="106"/>
      <c r="E109" s="106"/>
      <c r="F109" s="599"/>
      <c r="G109" s="112" t="s">
        <v>112</v>
      </c>
      <c r="H109" s="100" t="s">
        <v>87</v>
      </c>
      <c r="I109" s="106"/>
      <c r="J109" s="106"/>
      <c r="K109" s="106"/>
      <c r="L109" s="599"/>
    </row>
    <row r="110" spans="1:12" s="90" customFormat="1" ht="12.75" customHeight="1">
      <c r="A110" s="112" t="s">
        <v>113</v>
      </c>
      <c r="B110" s="100" t="s">
        <v>201</v>
      </c>
      <c r="C110" s="106"/>
      <c r="D110" s="106"/>
      <c r="E110" s="106"/>
      <c r="F110" s="599"/>
      <c r="G110" s="112" t="s">
        <v>113</v>
      </c>
      <c r="H110" s="100" t="s">
        <v>90</v>
      </c>
      <c r="I110" s="106"/>
      <c r="J110" s="106"/>
      <c r="K110" s="106"/>
      <c r="L110" s="599"/>
    </row>
    <row r="111" spans="1:12" s="90" customFormat="1" ht="12.75" customHeight="1">
      <c r="A111" s="112" t="s">
        <v>56</v>
      </c>
      <c r="B111" s="100" t="s">
        <v>126</v>
      </c>
      <c r="C111" s="101">
        <v>3743652</v>
      </c>
      <c r="D111" s="101">
        <v>3743652</v>
      </c>
      <c r="E111" s="101">
        <v>3743652</v>
      </c>
      <c r="F111" s="102">
        <f>+E111/D111</f>
        <v>1</v>
      </c>
      <c r="G111" s="112" t="s">
        <v>56</v>
      </c>
      <c r="H111" s="100" t="s">
        <v>132</v>
      </c>
      <c r="I111" s="101"/>
      <c r="J111" s="101"/>
      <c r="K111" s="101"/>
      <c r="L111" s="102"/>
    </row>
    <row r="112" spans="1:12" s="90" customFormat="1" ht="12.75" customHeight="1">
      <c r="A112" s="99" t="s">
        <v>64</v>
      </c>
      <c r="B112" s="116" t="s">
        <v>127</v>
      </c>
      <c r="C112" s="101"/>
      <c r="D112" s="101"/>
      <c r="E112" s="101"/>
      <c r="F112" s="102"/>
      <c r="G112" s="99" t="s">
        <v>64</v>
      </c>
      <c r="H112" s="116" t="s">
        <v>133</v>
      </c>
      <c r="I112" s="101"/>
      <c r="J112" s="101"/>
      <c r="K112" s="101"/>
      <c r="L112" s="102"/>
    </row>
    <row r="113" spans="1:12" s="594" customFormat="1" ht="12.75" customHeight="1" thickBot="1">
      <c r="A113" s="117"/>
      <c r="B113" s="118" t="s">
        <v>148</v>
      </c>
      <c r="C113" s="88">
        <f>+C101+C107+C111+C112</f>
        <v>3743652</v>
      </c>
      <c r="D113" s="88">
        <f>+D101+D107+D111+D112</f>
        <v>3743652</v>
      </c>
      <c r="E113" s="88">
        <f>+E101+E107+E111+E112</f>
        <v>3743652</v>
      </c>
      <c r="F113" s="119">
        <f>+E113/D113</f>
        <v>1</v>
      </c>
      <c r="G113" s="117"/>
      <c r="H113" s="118" t="s">
        <v>149</v>
      </c>
      <c r="I113" s="88">
        <f>I101+I107+I111+I112</f>
        <v>3743652</v>
      </c>
      <c r="J113" s="88">
        <f>J101+J107+J111+J112</f>
        <v>3743652</v>
      </c>
      <c r="K113" s="88">
        <f>K101+K107+K111+K112</f>
        <v>2320022</v>
      </c>
      <c r="L113" s="119">
        <f>+K113/J113</f>
        <v>0.61972159805452</v>
      </c>
    </row>
    <row r="114" spans="1:12" s="126" customFormat="1" ht="12.75" customHeight="1">
      <c r="A114" s="124"/>
      <c r="B114" s="124"/>
      <c r="C114" s="93"/>
      <c r="D114" s="93"/>
      <c r="E114" s="93"/>
      <c r="F114" s="93"/>
      <c r="G114" s="124"/>
      <c r="H114" s="124"/>
      <c r="I114" s="93"/>
      <c r="J114" s="93"/>
      <c r="K114" s="93"/>
      <c r="L114" s="93"/>
    </row>
    <row r="115" spans="1:12" s="90" customFormat="1" ht="12.75" customHeight="1" thickBot="1">
      <c r="A115" s="90" t="s">
        <v>229</v>
      </c>
      <c r="B115" s="124"/>
      <c r="C115" s="93"/>
      <c r="D115" s="93"/>
      <c r="E115" s="93"/>
      <c r="F115" s="93"/>
      <c r="G115" s="124"/>
      <c r="H115" s="124"/>
      <c r="I115" s="595"/>
      <c r="J115" s="595"/>
      <c r="K115" s="93"/>
      <c r="L115" s="595" t="s">
        <v>216</v>
      </c>
    </row>
    <row r="116" spans="1:12" s="90" customFormat="1" ht="24.75" customHeight="1">
      <c r="A116" s="96"/>
      <c r="B116" s="97" t="s">
        <v>104</v>
      </c>
      <c r="C116" s="86" t="s">
        <v>227</v>
      </c>
      <c r="D116" s="86" t="s">
        <v>844</v>
      </c>
      <c r="E116" s="86" t="s">
        <v>303</v>
      </c>
      <c r="F116" s="87" t="s">
        <v>304</v>
      </c>
      <c r="G116" s="96">
        <v>27</v>
      </c>
      <c r="H116" s="97" t="s">
        <v>105</v>
      </c>
      <c r="I116" s="86" t="s">
        <v>227</v>
      </c>
      <c r="J116" s="86" t="s">
        <v>844</v>
      </c>
      <c r="K116" s="86" t="s">
        <v>303</v>
      </c>
      <c r="L116" s="87" t="s">
        <v>304</v>
      </c>
    </row>
    <row r="117" spans="1:12" s="90" customFormat="1" ht="12.75" customHeight="1">
      <c r="A117" s="99" t="s">
        <v>23</v>
      </c>
      <c r="B117" s="100" t="s">
        <v>108</v>
      </c>
      <c r="C117" s="101"/>
      <c r="D117" s="101"/>
      <c r="E117" s="101"/>
      <c r="F117" s="102"/>
      <c r="G117" s="99" t="s">
        <v>23</v>
      </c>
      <c r="H117" s="100" t="s">
        <v>129</v>
      </c>
      <c r="I117" s="101">
        <f>SUM(I118:I122)</f>
        <v>2260477</v>
      </c>
      <c r="J117" s="101">
        <f>SUM(J118:J122)</f>
        <v>2260477</v>
      </c>
      <c r="K117" s="101">
        <f>SUM(K118:K122)</f>
        <v>2195566</v>
      </c>
      <c r="L117" s="102">
        <f>+K117/J117</f>
        <v>0.9712843793588698</v>
      </c>
    </row>
    <row r="118" spans="1:12" s="90" customFormat="1" ht="12.75" customHeight="1">
      <c r="A118" s="99" t="s">
        <v>111</v>
      </c>
      <c r="B118" s="116" t="s">
        <v>209</v>
      </c>
      <c r="C118" s="106"/>
      <c r="D118" s="106"/>
      <c r="E118" s="106"/>
      <c r="F118" s="599"/>
      <c r="G118" s="99" t="s">
        <v>111</v>
      </c>
      <c r="H118" s="116" t="s">
        <v>80</v>
      </c>
      <c r="I118" s="106">
        <v>1868567</v>
      </c>
      <c r="J118" s="106">
        <v>1868567</v>
      </c>
      <c r="K118" s="106">
        <v>1868567</v>
      </c>
      <c r="L118" s="599">
        <f>+K118/J118</f>
        <v>1</v>
      </c>
    </row>
    <row r="119" spans="1:12" s="90" customFormat="1" ht="12.75" customHeight="1">
      <c r="A119" s="99"/>
      <c r="B119" s="116" t="s">
        <v>210</v>
      </c>
      <c r="C119" s="106"/>
      <c r="D119" s="106"/>
      <c r="E119" s="106"/>
      <c r="F119" s="599"/>
      <c r="G119" s="99" t="s">
        <v>112</v>
      </c>
      <c r="H119" s="116" t="s">
        <v>147</v>
      </c>
      <c r="I119" s="106">
        <v>326999</v>
      </c>
      <c r="J119" s="106">
        <v>326999</v>
      </c>
      <c r="K119" s="106">
        <v>326999</v>
      </c>
      <c r="L119" s="599">
        <f>+K119/J119</f>
        <v>1</v>
      </c>
    </row>
    <row r="120" spans="1:12" s="90" customFormat="1" ht="12.75" customHeight="1">
      <c r="A120" s="99" t="s">
        <v>112</v>
      </c>
      <c r="B120" s="116" t="s">
        <v>9</v>
      </c>
      <c r="C120" s="106"/>
      <c r="D120" s="106"/>
      <c r="E120" s="106"/>
      <c r="F120" s="599"/>
      <c r="G120" s="99" t="s">
        <v>113</v>
      </c>
      <c r="H120" s="116" t="s">
        <v>83</v>
      </c>
      <c r="I120" s="106">
        <v>64911</v>
      </c>
      <c r="J120" s="106">
        <v>64911</v>
      </c>
      <c r="K120" s="106">
        <v>0</v>
      </c>
      <c r="L120" s="599">
        <f>+K120/J120</f>
        <v>0</v>
      </c>
    </row>
    <row r="121" spans="1:12" s="90" customFormat="1" ht="12.75" customHeight="1">
      <c r="A121" s="99" t="s">
        <v>113</v>
      </c>
      <c r="B121" s="116" t="s">
        <v>170</v>
      </c>
      <c r="C121" s="106"/>
      <c r="D121" s="106"/>
      <c r="E121" s="106"/>
      <c r="F121" s="599"/>
      <c r="G121" s="99" t="s">
        <v>114</v>
      </c>
      <c r="H121" s="116" t="s">
        <v>84</v>
      </c>
      <c r="I121" s="106"/>
      <c r="J121" s="106"/>
      <c r="K121" s="106"/>
      <c r="L121" s="599"/>
    </row>
    <row r="122" spans="1:12" s="90" customFormat="1" ht="12.75" customHeight="1">
      <c r="A122" s="99" t="s">
        <v>114</v>
      </c>
      <c r="B122" s="116" t="s">
        <v>181</v>
      </c>
      <c r="C122" s="106"/>
      <c r="D122" s="106"/>
      <c r="E122" s="106"/>
      <c r="F122" s="599"/>
      <c r="G122" s="99" t="s">
        <v>115</v>
      </c>
      <c r="H122" s="116" t="s">
        <v>211</v>
      </c>
      <c r="I122" s="106"/>
      <c r="J122" s="106"/>
      <c r="K122" s="106"/>
      <c r="L122" s="599"/>
    </row>
    <row r="123" spans="1:12" s="90" customFormat="1" ht="12.75" customHeight="1">
      <c r="A123" s="112" t="s">
        <v>45</v>
      </c>
      <c r="B123" s="100" t="s">
        <v>118</v>
      </c>
      <c r="C123" s="101"/>
      <c r="D123" s="101"/>
      <c r="E123" s="101"/>
      <c r="F123" s="102"/>
      <c r="G123" s="112" t="s">
        <v>45</v>
      </c>
      <c r="H123" s="100" t="s">
        <v>130</v>
      </c>
      <c r="I123" s="101"/>
      <c r="J123" s="101"/>
      <c r="K123" s="101"/>
      <c r="L123" s="102"/>
    </row>
    <row r="124" spans="1:12" s="90" customFormat="1" ht="12.75" customHeight="1">
      <c r="A124" s="112" t="s">
        <v>111</v>
      </c>
      <c r="B124" s="100" t="s">
        <v>106</v>
      </c>
      <c r="C124" s="106"/>
      <c r="D124" s="106"/>
      <c r="E124" s="106"/>
      <c r="F124" s="599"/>
      <c r="G124" s="112" t="s">
        <v>111</v>
      </c>
      <c r="H124" s="100" t="s">
        <v>131</v>
      </c>
      <c r="I124" s="106"/>
      <c r="J124" s="106"/>
      <c r="K124" s="106"/>
      <c r="L124" s="599"/>
    </row>
    <row r="125" spans="1:12" s="90" customFormat="1" ht="12.75" customHeight="1">
      <c r="A125" s="112" t="s">
        <v>112</v>
      </c>
      <c r="B125" s="100" t="s">
        <v>39</v>
      </c>
      <c r="C125" s="106"/>
      <c r="D125" s="106"/>
      <c r="E125" s="106"/>
      <c r="F125" s="599"/>
      <c r="G125" s="112" t="s">
        <v>112</v>
      </c>
      <c r="H125" s="100" t="s">
        <v>87</v>
      </c>
      <c r="I125" s="106"/>
      <c r="J125" s="106"/>
      <c r="K125" s="106"/>
      <c r="L125" s="599"/>
    </row>
    <row r="126" spans="1:12" s="90" customFormat="1" ht="12.75" customHeight="1">
      <c r="A126" s="112" t="s">
        <v>113</v>
      </c>
      <c r="B126" s="100" t="s">
        <v>201</v>
      </c>
      <c r="C126" s="106"/>
      <c r="D126" s="106"/>
      <c r="E126" s="106"/>
      <c r="F126" s="599"/>
      <c r="G126" s="112" t="s">
        <v>113</v>
      </c>
      <c r="H126" s="100" t="s">
        <v>90</v>
      </c>
      <c r="I126" s="106"/>
      <c r="J126" s="106"/>
      <c r="K126" s="106"/>
      <c r="L126" s="599"/>
    </row>
    <row r="127" spans="1:12" s="90" customFormat="1" ht="12.75" customHeight="1">
      <c r="A127" s="112" t="s">
        <v>56</v>
      </c>
      <c r="B127" s="100" t="s">
        <v>126</v>
      </c>
      <c r="C127" s="101">
        <v>2260477</v>
      </c>
      <c r="D127" s="101">
        <v>2260477</v>
      </c>
      <c r="E127" s="101">
        <v>2260477</v>
      </c>
      <c r="F127" s="102">
        <v>1</v>
      </c>
      <c r="G127" s="112" t="s">
        <v>56</v>
      </c>
      <c r="H127" s="100" t="s">
        <v>132</v>
      </c>
      <c r="I127" s="101"/>
      <c r="J127" s="101"/>
      <c r="K127" s="101"/>
      <c r="L127" s="102"/>
    </row>
    <row r="128" spans="1:12" s="90" customFormat="1" ht="12.75" customHeight="1">
      <c r="A128" s="99" t="s">
        <v>64</v>
      </c>
      <c r="B128" s="116" t="s">
        <v>127</v>
      </c>
      <c r="C128" s="101"/>
      <c r="D128" s="101"/>
      <c r="E128" s="101"/>
      <c r="F128" s="102"/>
      <c r="G128" s="99" t="s">
        <v>64</v>
      </c>
      <c r="H128" s="116" t="s">
        <v>133</v>
      </c>
      <c r="I128" s="101"/>
      <c r="J128" s="101"/>
      <c r="K128" s="101"/>
      <c r="L128" s="102"/>
    </row>
    <row r="129" spans="1:12" s="594" customFormat="1" ht="12.75" customHeight="1" thickBot="1">
      <c r="A129" s="117"/>
      <c r="B129" s="118" t="s">
        <v>148</v>
      </c>
      <c r="C129" s="88">
        <f>+C117+C123+C127+C128</f>
        <v>2260477</v>
      </c>
      <c r="D129" s="88">
        <f>+D117+D123+D127+D128</f>
        <v>2260477</v>
      </c>
      <c r="E129" s="88">
        <f>+E117+E123+E127+E128</f>
        <v>2260477</v>
      </c>
      <c r="F129" s="119">
        <f>+E129/D129</f>
        <v>1</v>
      </c>
      <c r="G129" s="117"/>
      <c r="H129" s="118" t="s">
        <v>149</v>
      </c>
      <c r="I129" s="88">
        <f>I117+I123+I127+I128</f>
        <v>2260477</v>
      </c>
      <c r="J129" s="88">
        <f>J117+J123+J127+J128</f>
        <v>2260477</v>
      </c>
      <c r="K129" s="88">
        <f>K117+K123+K127+K128</f>
        <v>2195566</v>
      </c>
      <c r="L129" s="119">
        <f>+K129/J129</f>
        <v>0.9712843793588698</v>
      </c>
    </row>
    <row r="130" spans="1:12" s="126" customFormat="1" ht="12.75" customHeight="1">
      <c r="A130" s="124"/>
      <c r="B130" s="124"/>
      <c r="C130" s="93"/>
      <c r="D130" s="93"/>
      <c r="E130" s="93"/>
      <c r="F130" s="93"/>
      <c r="G130" s="124"/>
      <c r="H130" s="124"/>
      <c r="I130" s="93"/>
      <c r="J130" s="93"/>
      <c r="K130" s="93"/>
      <c r="L130" s="93"/>
    </row>
    <row r="131" spans="1:12" s="90" customFormat="1" ht="12.75" customHeight="1" thickBot="1">
      <c r="A131" s="90" t="s">
        <v>228</v>
      </c>
      <c r="B131" s="124"/>
      <c r="C131" s="93"/>
      <c r="D131" s="93"/>
      <c r="E131" s="93"/>
      <c r="F131" s="93"/>
      <c r="G131" s="124"/>
      <c r="H131" s="124"/>
      <c r="I131" s="595"/>
      <c r="J131" s="595"/>
      <c r="K131" s="93"/>
      <c r="L131" s="595" t="s">
        <v>216</v>
      </c>
    </row>
    <row r="132" spans="1:12" s="90" customFormat="1" ht="24.75" customHeight="1">
      <c r="A132" s="96"/>
      <c r="B132" s="97" t="s">
        <v>104</v>
      </c>
      <c r="C132" s="86" t="s">
        <v>227</v>
      </c>
      <c r="D132" s="86" t="s">
        <v>844</v>
      </c>
      <c r="E132" s="86" t="s">
        <v>303</v>
      </c>
      <c r="F132" s="87" t="s">
        <v>304</v>
      </c>
      <c r="G132" s="96">
        <v>28</v>
      </c>
      <c r="H132" s="97" t="s">
        <v>105</v>
      </c>
      <c r="I132" s="86" t="s">
        <v>227</v>
      </c>
      <c r="J132" s="86" t="s">
        <v>844</v>
      </c>
      <c r="K132" s="86" t="s">
        <v>303</v>
      </c>
      <c r="L132" s="87" t="s">
        <v>304</v>
      </c>
    </row>
    <row r="133" spans="1:12" s="90" customFormat="1" ht="12.75" customHeight="1">
      <c r="A133" s="99" t="s">
        <v>23</v>
      </c>
      <c r="B133" s="100" t="s">
        <v>108</v>
      </c>
      <c r="C133" s="101"/>
      <c r="D133" s="101"/>
      <c r="E133" s="101"/>
      <c r="F133" s="102"/>
      <c r="G133" s="99" t="s">
        <v>23</v>
      </c>
      <c r="H133" s="100" t="s">
        <v>129</v>
      </c>
      <c r="I133" s="101">
        <f>SUM(I134:I138)</f>
        <v>9238923</v>
      </c>
      <c r="J133" s="101">
        <f>SUM(J134:J138)</f>
        <v>9238923</v>
      </c>
      <c r="K133" s="101">
        <f>SUM(K134:K138)</f>
        <v>1767075</v>
      </c>
      <c r="L133" s="102">
        <f>+K133/J133</f>
        <v>0.1912641765712302</v>
      </c>
    </row>
    <row r="134" spans="1:12" s="90" customFormat="1" ht="12.75" customHeight="1">
      <c r="A134" s="99" t="s">
        <v>111</v>
      </c>
      <c r="B134" s="116" t="s">
        <v>209</v>
      </c>
      <c r="C134" s="106"/>
      <c r="D134" s="106"/>
      <c r="E134" s="106"/>
      <c r="F134" s="599"/>
      <c r="G134" s="99" t="s">
        <v>111</v>
      </c>
      <c r="H134" s="116" t="s">
        <v>80</v>
      </c>
      <c r="I134" s="106">
        <v>7701037</v>
      </c>
      <c r="J134" s="106">
        <v>7701037</v>
      </c>
      <c r="K134" s="106">
        <v>1503894</v>
      </c>
      <c r="L134" s="599">
        <f>+K134/J134</f>
        <v>0.19528460907277811</v>
      </c>
    </row>
    <row r="135" spans="1:12" s="90" customFormat="1" ht="12.75" customHeight="1">
      <c r="A135" s="99"/>
      <c r="B135" s="116" t="s">
        <v>210</v>
      </c>
      <c r="C135" s="106"/>
      <c r="D135" s="106"/>
      <c r="E135" s="106"/>
      <c r="F135" s="599"/>
      <c r="G135" s="99" t="s">
        <v>112</v>
      </c>
      <c r="H135" s="116" t="s">
        <v>147</v>
      </c>
      <c r="I135" s="106">
        <v>1537886</v>
      </c>
      <c r="J135" s="106">
        <v>1537886</v>
      </c>
      <c r="K135" s="106">
        <v>263181</v>
      </c>
      <c r="L135" s="599">
        <f>+K135/J135</f>
        <v>0.17113167035788088</v>
      </c>
    </row>
    <row r="136" spans="1:12" s="90" customFormat="1" ht="12.75" customHeight="1">
      <c r="A136" s="99" t="s">
        <v>112</v>
      </c>
      <c r="B136" s="116" t="s">
        <v>9</v>
      </c>
      <c r="C136" s="106"/>
      <c r="D136" s="106"/>
      <c r="E136" s="106"/>
      <c r="F136" s="599"/>
      <c r="G136" s="99" t="s">
        <v>113</v>
      </c>
      <c r="H136" s="116" t="s">
        <v>83</v>
      </c>
      <c r="I136" s="106"/>
      <c r="J136" s="106"/>
      <c r="K136" s="106"/>
      <c r="L136" s="599"/>
    </row>
    <row r="137" spans="1:12" s="90" customFormat="1" ht="12.75" customHeight="1">
      <c r="A137" s="99" t="s">
        <v>113</v>
      </c>
      <c r="B137" s="116" t="s">
        <v>170</v>
      </c>
      <c r="C137" s="106"/>
      <c r="D137" s="106"/>
      <c r="E137" s="106"/>
      <c r="F137" s="599"/>
      <c r="G137" s="99" t="s">
        <v>114</v>
      </c>
      <c r="H137" s="116" t="s">
        <v>84</v>
      </c>
      <c r="I137" s="106"/>
      <c r="J137" s="106"/>
      <c r="K137" s="106"/>
      <c r="L137" s="599"/>
    </row>
    <row r="138" spans="1:12" s="90" customFormat="1" ht="12.75" customHeight="1">
      <c r="A138" s="99" t="s">
        <v>114</v>
      </c>
      <c r="B138" s="116" t="s">
        <v>181</v>
      </c>
      <c r="C138" s="106"/>
      <c r="D138" s="106"/>
      <c r="E138" s="106"/>
      <c r="F138" s="599"/>
      <c r="G138" s="99" t="s">
        <v>115</v>
      </c>
      <c r="H138" s="116" t="s">
        <v>211</v>
      </c>
      <c r="I138" s="106"/>
      <c r="J138" s="106"/>
      <c r="K138" s="106"/>
      <c r="L138" s="599"/>
    </row>
    <row r="139" spans="1:12" s="90" customFormat="1" ht="12.75" customHeight="1">
      <c r="A139" s="112" t="s">
        <v>45</v>
      </c>
      <c r="B139" s="100" t="s">
        <v>118</v>
      </c>
      <c r="C139" s="101"/>
      <c r="D139" s="101"/>
      <c r="E139" s="101"/>
      <c r="F139" s="102"/>
      <c r="G139" s="112" t="s">
        <v>45</v>
      </c>
      <c r="H139" s="100" t="s">
        <v>130</v>
      </c>
      <c r="I139" s="101"/>
      <c r="J139" s="101"/>
      <c r="K139" s="101"/>
      <c r="L139" s="102"/>
    </row>
    <row r="140" spans="1:12" s="90" customFormat="1" ht="12.75" customHeight="1">
      <c r="A140" s="112" t="s">
        <v>111</v>
      </c>
      <c r="B140" s="100" t="s">
        <v>106</v>
      </c>
      <c r="C140" s="106"/>
      <c r="D140" s="106"/>
      <c r="E140" s="106"/>
      <c r="F140" s="599"/>
      <c r="G140" s="112" t="s">
        <v>111</v>
      </c>
      <c r="H140" s="100" t="s">
        <v>131</v>
      </c>
      <c r="I140" s="106"/>
      <c r="J140" s="106"/>
      <c r="K140" s="106"/>
      <c r="L140" s="599"/>
    </row>
    <row r="141" spans="1:12" s="90" customFormat="1" ht="12.75" customHeight="1">
      <c r="A141" s="112" t="s">
        <v>112</v>
      </c>
      <c r="B141" s="100" t="s">
        <v>39</v>
      </c>
      <c r="C141" s="106"/>
      <c r="D141" s="106"/>
      <c r="E141" s="106"/>
      <c r="F141" s="599"/>
      <c r="G141" s="112" t="s">
        <v>112</v>
      </c>
      <c r="H141" s="100" t="s">
        <v>87</v>
      </c>
      <c r="I141" s="106"/>
      <c r="J141" s="106"/>
      <c r="K141" s="106"/>
      <c r="L141" s="599"/>
    </row>
    <row r="142" spans="1:12" s="90" customFormat="1" ht="12.75" customHeight="1">
      <c r="A142" s="112" t="s">
        <v>113</v>
      </c>
      <c r="B142" s="100" t="s">
        <v>201</v>
      </c>
      <c r="C142" s="106"/>
      <c r="D142" s="106"/>
      <c r="E142" s="106"/>
      <c r="F142" s="599"/>
      <c r="G142" s="112" t="s">
        <v>113</v>
      </c>
      <c r="H142" s="100" t="s">
        <v>90</v>
      </c>
      <c r="I142" s="106"/>
      <c r="J142" s="106"/>
      <c r="K142" s="106"/>
      <c r="L142" s="599"/>
    </row>
    <row r="143" spans="1:12" s="90" customFormat="1" ht="12.75" customHeight="1">
      <c r="A143" s="112" t="s">
        <v>56</v>
      </c>
      <c r="B143" s="100" t="s">
        <v>126</v>
      </c>
      <c r="C143" s="101">
        <v>9238923</v>
      </c>
      <c r="D143" s="101">
        <v>9238923</v>
      </c>
      <c r="E143" s="101">
        <v>9238923</v>
      </c>
      <c r="F143" s="102">
        <v>1</v>
      </c>
      <c r="G143" s="112" t="s">
        <v>56</v>
      </c>
      <c r="H143" s="100" t="s">
        <v>132</v>
      </c>
      <c r="I143" s="101"/>
      <c r="J143" s="101"/>
      <c r="K143" s="101"/>
      <c r="L143" s="102"/>
    </row>
    <row r="144" spans="1:12" s="90" customFormat="1" ht="12.75" customHeight="1">
      <c r="A144" s="99" t="s">
        <v>64</v>
      </c>
      <c r="B144" s="116" t="s">
        <v>127</v>
      </c>
      <c r="C144" s="101"/>
      <c r="D144" s="101"/>
      <c r="E144" s="101"/>
      <c r="F144" s="102"/>
      <c r="G144" s="99" t="s">
        <v>64</v>
      </c>
      <c r="H144" s="116" t="s">
        <v>133</v>
      </c>
      <c r="I144" s="101"/>
      <c r="J144" s="101"/>
      <c r="K144" s="101"/>
      <c r="L144" s="102"/>
    </row>
    <row r="145" spans="1:12" s="594" customFormat="1" ht="12.75" customHeight="1" thickBot="1">
      <c r="A145" s="117"/>
      <c r="B145" s="118" t="s">
        <v>148</v>
      </c>
      <c r="C145" s="88">
        <f>+C133+C139+C143+C144</f>
        <v>9238923</v>
      </c>
      <c r="D145" s="88">
        <f>+D133+D139+D143+D144</f>
        <v>9238923</v>
      </c>
      <c r="E145" s="88">
        <f>+E133+E139+E143+E144</f>
        <v>9238923</v>
      </c>
      <c r="F145" s="119">
        <f>+E145/D145</f>
        <v>1</v>
      </c>
      <c r="G145" s="117"/>
      <c r="H145" s="118" t="s">
        <v>149</v>
      </c>
      <c r="I145" s="88">
        <f>I133+I139+I143+I144</f>
        <v>9238923</v>
      </c>
      <c r="J145" s="88">
        <f>J133+J139+J143+J144</f>
        <v>9238923</v>
      </c>
      <c r="K145" s="88">
        <f>K133+K139+K143+K144</f>
        <v>1767075</v>
      </c>
      <c r="L145" s="119">
        <f>+K145/J145</f>
        <v>0.1912641765712302</v>
      </c>
    </row>
    <row r="146" spans="1:12" s="126" customFormat="1" ht="12.75" customHeight="1">
      <c r="A146" s="124"/>
      <c r="B146" s="124"/>
      <c r="C146" s="93"/>
      <c r="D146" s="93"/>
      <c r="E146" s="639"/>
      <c r="F146" s="639"/>
      <c r="G146" s="124"/>
      <c r="H146" s="124"/>
      <c r="I146" s="93"/>
      <c r="J146" s="93"/>
      <c r="K146" s="639"/>
      <c r="L146" s="639"/>
    </row>
    <row r="147" spans="1:12" s="90" customFormat="1" ht="12.75" customHeight="1" thickBot="1">
      <c r="A147" s="90" t="s">
        <v>280</v>
      </c>
      <c r="B147" s="124"/>
      <c r="C147" s="93"/>
      <c r="D147" s="93"/>
      <c r="E147" s="93"/>
      <c r="F147" s="93"/>
      <c r="G147" s="124"/>
      <c r="H147" s="124"/>
      <c r="I147" s="595"/>
      <c r="J147" s="595"/>
      <c r="K147" s="93"/>
      <c r="L147" s="595" t="s">
        <v>216</v>
      </c>
    </row>
    <row r="148" spans="1:12" s="90" customFormat="1" ht="24.75" customHeight="1">
      <c r="A148" s="96"/>
      <c r="B148" s="97" t="s">
        <v>104</v>
      </c>
      <c r="C148" s="86" t="s">
        <v>227</v>
      </c>
      <c r="D148" s="86" t="s">
        <v>844</v>
      </c>
      <c r="E148" s="86" t="s">
        <v>303</v>
      </c>
      <c r="F148" s="87" t="s">
        <v>304</v>
      </c>
      <c r="G148" s="96">
        <v>29</v>
      </c>
      <c r="H148" s="97" t="s">
        <v>105</v>
      </c>
      <c r="I148" s="86" t="s">
        <v>227</v>
      </c>
      <c r="J148" s="86" t="s">
        <v>844</v>
      </c>
      <c r="K148" s="86" t="s">
        <v>303</v>
      </c>
      <c r="L148" s="87" t="s">
        <v>304</v>
      </c>
    </row>
    <row r="149" spans="1:12" s="90" customFormat="1" ht="12.75" customHeight="1">
      <c r="A149" s="99" t="s">
        <v>23</v>
      </c>
      <c r="B149" s="100" t="s">
        <v>108</v>
      </c>
      <c r="C149" s="101"/>
      <c r="D149" s="101"/>
      <c r="E149" s="101"/>
      <c r="F149" s="102"/>
      <c r="G149" s="99" t="s">
        <v>23</v>
      </c>
      <c r="H149" s="100" t="s">
        <v>129</v>
      </c>
      <c r="I149" s="101">
        <f>SUM(I150:I154)</f>
        <v>64674</v>
      </c>
      <c r="J149" s="101">
        <f>SUM(J150:J154)</f>
        <v>64674</v>
      </c>
      <c r="K149" s="101">
        <f>SUM(K150:K154)</f>
        <v>0</v>
      </c>
      <c r="L149" s="102">
        <f>+K149/J149</f>
        <v>0</v>
      </c>
    </row>
    <row r="150" spans="1:12" s="90" customFormat="1" ht="12.75" customHeight="1">
      <c r="A150" s="99" t="s">
        <v>111</v>
      </c>
      <c r="B150" s="116" t="s">
        <v>209</v>
      </c>
      <c r="C150" s="106"/>
      <c r="D150" s="106"/>
      <c r="E150" s="106"/>
      <c r="F150" s="599"/>
      <c r="G150" s="99" t="s">
        <v>111</v>
      </c>
      <c r="H150" s="116" t="s">
        <v>80</v>
      </c>
      <c r="I150" s="106">
        <v>16595</v>
      </c>
      <c r="J150" s="106">
        <v>16595</v>
      </c>
      <c r="K150" s="106">
        <v>0</v>
      </c>
      <c r="L150" s="599">
        <f>+K150/J150</f>
        <v>0</v>
      </c>
    </row>
    <row r="151" spans="1:12" s="90" customFormat="1" ht="12.75" customHeight="1">
      <c r="A151" s="99"/>
      <c r="B151" s="116" t="s">
        <v>210</v>
      </c>
      <c r="C151" s="106"/>
      <c r="D151" s="106"/>
      <c r="E151" s="106"/>
      <c r="F151" s="599"/>
      <c r="G151" s="99" t="s">
        <v>112</v>
      </c>
      <c r="H151" s="116" t="s">
        <v>147</v>
      </c>
      <c r="I151" s="106">
        <v>2905</v>
      </c>
      <c r="J151" s="106">
        <v>2905</v>
      </c>
      <c r="K151" s="106">
        <v>0</v>
      </c>
      <c r="L151" s="599">
        <f>+K151/J151</f>
        <v>0</v>
      </c>
    </row>
    <row r="152" spans="1:12" s="90" customFormat="1" ht="12.75" customHeight="1">
      <c r="A152" s="99" t="s">
        <v>112</v>
      </c>
      <c r="B152" s="116" t="s">
        <v>9</v>
      </c>
      <c r="C152" s="106"/>
      <c r="D152" s="106"/>
      <c r="E152" s="106"/>
      <c r="F152" s="599"/>
      <c r="G152" s="99" t="s">
        <v>113</v>
      </c>
      <c r="H152" s="116" t="s">
        <v>83</v>
      </c>
      <c r="I152" s="106">
        <f>36000+9174</f>
        <v>45174</v>
      </c>
      <c r="J152" s="106">
        <f>36000+9174</f>
        <v>45174</v>
      </c>
      <c r="K152" s="106">
        <v>0</v>
      </c>
      <c r="L152" s="599">
        <f>+K152/J152+IF(L152=0/0,0%)</f>
        <v>0</v>
      </c>
    </row>
    <row r="153" spans="1:12" s="90" customFormat="1" ht="12.75" customHeight="1">
      <c r="A153" s="99" t="s">
        <v>113</v>
      </c>
      <c r="B153" s="116" t="s">
        <v>170</v>
      </c>
      <c r="C153" s="106"/>
      <c r="D153" s="106"/>
      <c r="E153" s="106"/>
      <c r="F153" s="599"/>
      <c r="G153" s="99" t="s">
        <v>114</v>
      </c>
      <c r="H153" s="116" t="s">
        <v>84</v>
      </c>
      <c r="I153" s="106"/>
      <c r="J153" s="106"/>
      <c r="K153" s="106"/>
      <c r="L153" s="599"/>
    </row>
    <row r="154" spans="1:12" s="90" customFormat="1" ht="12.75" customHeight="1">
      <c r="A154" s="99" t="s">
        <v>114</v>
      </c>
      <c r="B154" s="116" t="s">
        <v>181</v>
      </c>
      <c r="C154" s="106"/>
      <c r="D154" s="106"/>
      <c r="E154" s="106"/>
      <c r="F154" s="599"/>
      <c r="G154" s="99" t="s">
        <v>115</v>
      </c>
      <c r="H154" s="116" t="s">
        <v>211</v>
      </c>
      <c r="I154" s="106"/>
      <c r="J154" s="106"/>
      <c r="K154" s="106"/>
      <c r="L154" s="599"/>
    </row>
    <row r="155" spans="1:12" s="90" customFormat="1" ht="12.75" customHeight="1">
      <c r="A155" s="112" t="s">
        <v>45</v>
      </c>
      <c r="B155" s="100" t="s">
        <v>118</v>
      </c>
      <c r="C155" s="101"/>
      <c r="D155" s="101"/>
      <c r="E155" s="101"/>
      <c r="F155" s="102"/>
      <c r="G155" s="112" t="s">
        <v>45</v>
      </c>
      <c r="H155" s="100" t="s">
        <v>130</v>
      </c>
      <c r="I155" s="101"/>
      <c r="J155" s="101"/>
      <c r="K155" s="101"/>
      <c r="L155" s="102"/>
    </row>
    <row r="156" spans="1:12" s="90" customFormat="1" ht="12.75" customHeight="1">
      <c r="A156" s="112" t="s">
        <v>111</v>
      </c>
      <c r="B156" s="100" t="s">
        <v>106</v>
      </c>
      <c r="C156" s="106"/>
      <c r="D156" s="106"/>
      <c r="E156" s="106"/>
      <c r="F156" s="599"/>
      <c r="G156" s="112" t="s">
        <v>111</v>
      </c>
      <c r="H156" s="100" t="s">
        <v>131</v>
      </c>
      <c r="I156" s="106"/>
      <c r="J156" s="106"/>
      <c r="K156" s="106"/>
      <c r="L156" s="599"/>
    </row>
    <row r="157" spans="1:12" s="90" customFormat="1" ht="12.75" customHeight="1">
      <c r="A157" s="112" t="s">
        <v>112</v>
      </c>
      <c r="B157" s="100" t="s">
        <v>39</v>
      </c>
      <c r="C157" s="106"/>
      <c r="D157" s="106"/>
      <c r="E157" s="106"/>
      <c r="F157" s="599"/>
      <c r="G157" s="112" t="s">
        <v>112</v>
      </c>
      <c r="H157" s="100" t="s">
        <v>87</v>
      </c>
      <c r="I157" s="106"/>
      <c r="J157" s="106"/>
      <c r="K157" s="106"/>
      <c r="L157" s="599"/>
    </row>
    <row r="158" spans="1:12" s="90" customFormat="1" ht="12.75" customHeight="1">
      <c r="A158" s="112" t="s">
        <v>113</v>
      </c>
      <c r="B158" s="100" t="s">
        <v>201</v>
      </c>
      <c r="C158" s="106"/>
      <c r="D158" s="106"/>
      <c r="E158" s="106"/>
      <c r="F158" s="599"/>
      <c r="G158" s="112" t="s">
        <v>113</v>
      </c>
      <c r="H158" s="100" t="s">
        <v>90</v>
      </c>
      <c r="I158" s="106"/>
      <c r="J158" s="106"/>
      <c r="K158" s="106"/>
      <c r="L158" s="599"/>
    </row>
    <row r="159" spans="1:12" s="90" customFormat="1" ht="12.75" customHeight="1">
      <c r="A159" s="112" t="s">
        <v>56</v>
      </c>
      <c r="B159" s="100" t="s">
        <v>126</v>
      </c>
      <c r="C159" s="101">
        <v>64674</v>
      </c>
      <c r="D159" s="101">
        <v>64674</v>
      </c>
      <c r="E159" s="101">
        <v>64674</v>
      </c>
      <c r="F159" s="102">
        <f>+E159/D159</f>
        <v>1</v>
      </c>
      <c r="G159" s="112" t="s">
        <v>56</v>
      </c>
      <c r="H159" s="100" t="s">
        <v>132</v>
      </c>
      <c r="I159" s="101"/>
      <c r="J159" s="101"/>
      <c r="K159" s="101"/>
      <c r="L159" s="102"/>
    </row>
    <row r="160" spans="1:12" s="90" customFormat="1" ht="12.75" customHeight="1">
      <c r="A160" s="99" t="s">
        <v>64</v>
      </c>
      <c r="B160" s="116" t="s">
        <v>127</v>
      </c>
      <c r="C160" s="101"/>
      <c r="D160" s="101"/>
      <c r="E160" s="101"/>
      <c r="F160" s="102"/>
      <c r="G160" s="99" t="s">
        <v>64</v>
      </c>
      <c r="H160" s="116" t="s">
        <v>133</v>
      </c>
      <c r="I160" s="101"/>
      <c r="J160" s="101"/>
      <c r="K160" s="101"/>
      <c r="L160" s="102"/>
    </row>
    <row r="161" spans="1:12" s="124" customFormat="1" ht="12.75" customHeight="1" thickBot="1">
      <c r="A161" s="117"/>
      <c r="B161" s="118" t="s">
        <v>148</v>
      </c>
      <c r="C161" s="88">
        <f>+C149+C155+C159+C160</f>
        <v>64674</v>
      </c>
      <c r="D161" s="88">
        <f>+D149+D155+D159+D160</f>
        <v>64674</v>
      </c>
      <c r="E161" s="88">
        <f>+E149+E155+E159+E160</f>
        <v>64674</v>
      </c>
      <c r="F161" s="119">
        <f>+E161/D161</f>
        <v>1</v>
      </c>
      <c r="G161" s="117"/>
      <c r="H161" s="118" t="s">
        <v>149</v>
      </c>
      <c r="I161" s="88">
        <f>I149+I155+I159+I160</f>
        <v>64674</v>
      </c>
      <c r="J161" s="88">
        <f>J149+J155+J159+J160</f>
        <v>64674</v>
      </c>
      <c r="K161" s="88">
        <f>K149+K155+K159+K160</f>
        <v>0</v>
      </c>
      <c r="L161" s="119">
        <f>+K161/J161</f>
        <v>0</v>
      </c>
    </row>
    <row r="162" spans="1:12" s="55" customFormat="1" ht="12.75" customHeight="1">
      <c r="A162" s="72"/>
      <c r="B162" s="72"/>
      <c r="C162" s="53"/>
      <c r="D162" s="53"/>
      <c r="E162" s="637"/>
      <c r="F162" s="637"/>
      <c r="G162" s="72"/>
      <c r="H162" s="72"/>
      <c r="I162" s="53"/>
      <c r="J162" s="53"/>
      <c r="K162" s="637"/>
      <c r="L162" s="637"/>
    </row>
    <row r="163" spans="1:12" s="90" customFormat="1" ht="12.75" customHeight="1" thickBot="1">
      <c r="A163" s="90" t="s">
        <v>268</v>
      </c>
      <c r="B163" s="124"/>
      <c r="E163" s="93"/>
      <c r="F163" s="93"/>
      <c r="G163" s="124"/>
      <c r="H163" s="124"/>
      <c r="I163" s="595"/>
      <c r="J163" s="595"/>
      <c r="K163" s="93"/>
      <c r="L163" s="595" t="s">
        <v>216</v>
      </c>
    </row>
    <row r="164" spans="1:12" s="90" customFormat="1" ht="24.75" customHeight="1">
      <c r="A164" s="96"/>
      <c r="B164" s="97" t="s">
        <v>104</v>
      </c>
      <c r="C164" s="86" t="s">
        <v>227</v>
      </c>
      <c r="D164" s="86" t="s">
        <v>844</v>
      </c>
      <c r="E164" s="86" t="s">
        <v>303</v>
      </c>
      <c r="F164" s="87" t="s">
        <v>304</v>
      </c>
      <c r="G164" s="96">
        <v>30</v>
      </c>
      <c r="H164" s="97" t="s">
        <v>105</v>
      </c>
      <c r="I164" s="86" t="s">
        <v>227</v>
      </c>
      <c r="J164" s="86" t="s">
        <v>844</v>
      </c>
      <c r="K164" s="86" t="s">
        <v>303</v>
      </c>
      <c r="L164" s="87" t="s">
        <v>304</v>
      </c>
    </row>
    <row r="165" spans="1:12" s="90" customFormat="1" ht="12.75" customHeight="1">
      <c r="A165" s="99" t="s">
        <v>23</v>
      </c>
      <c r="B165" s="100" t="s">
        <v>108</v>
      </c>
      <c r="C165" s="101"/>
      <c r="D165" s="101"/>
      <c r="E165" s="101"/>
      <c r="F165" s="102"/>
      <c r="G165" s="99" t="s">
        <v>23</v>
      </c>
      <c r="H165" s="100" t="s">
        <v>129</v>
      </c>
      <c r="I165" s="101"/>
      <c r="J165" s="101"/>
      <c r="K165" s="101"/>
      <c r="L165" s="102"/>
    </row>
    <row r="166" spans="1:12" s="90" customFormat="1" ht="12.75" customHeight="1">
      <c r="A166" s="99" t="s">
        <v>111</v>
      </c>
      <c r="B166" s="116" t="s">
        <v>209</v>
      </c>
      <c r="C166" s="106"/>
      <c r="D166" s="106"/>
      <c r="E166" s="106"/>
      <c r="F166" s="599"/>
      <c r="G166" s="99" t="s">
        <v>111</v>
      </c>
      <c r="H166" s="116" t="s">
        <v>80</v>
      </c>
      <c r="I166" s="106"/>
      <c r="J166" s="106"/>
      <c r="K166" s="106"/>
      <c r="L166" s="599"/>
    </row>
    <row r="167" spans="1:12" s="90" customFormat="1" ht="12.75" customHeight="1">
      <c r="A167" s="99"/>
      <c r="B167" s="116" t="s">
        <v>210</v>
      </c>
      <c r="C167" s="106"/>
      <c r="D167" s="106"/>
      <c r="E167" s="106"/>
      <c r="F167" s="599"/>
      <c r="G167" s="99" t="s">
        <v>112</v>
      </c>
      <c r="H167" s="116" t="s">
        <v>147</v>
      </c>
      <c r="I167" s="106"/>
      <c r="J167" s="106"/>
      <c r="K167" s="106"/>
      <c r="L167" s="599"/>
    </row>
    <row r="168" spans="1:12" s="90" customFormat="1" ht="12.75" customHeight="1">
      <c r="A168" s="99" t="s">
        <v>112</v>
      </c>
      <c r="B168" s="116" t="s">
        <v>9</v>
      </c>
      <c r="C168" s="106"/>
      <c r="D168" s="106"/>
      <c r="E168" s="106"/>
      <c r="F168" s="599"/>
      <c r="G168" s="99" t="s">
        <v>113</v>
      </c>
      <c r="H168" s="116" t="s">
        <v>83</v>
      </c>
      <c r="I168" s="106"/>
      <c r="J168" s="106"/>
      <c r="K168" s="106"/>
      <c r="L168" s="599"/>
    </row>
    <row r="169" spans="1:12" s="90" customFormat="1" ht="12.75" customHeight="1">
      <c r="A169" s="99" t="s">
        <v>113</v>
      </c>
      <c r="B169" s="116" t="s">
        <v>170</v>
      </c>
      <c r="C169" s="106"/>
      <c r="D169" s="106"/>
      <c r="E169" s="106"/>
      <c r="F169" s="599"/>
      <c r="G169" s="99" t="s">
        <v>114</v>
      </c>
      <c r="H169" s="116" t="s">
        <v>84</v>
      </c>
      <c r="I169" s="106"/>
      <c r="J169" s="106"/>
      <c r="K169" s="106"/>
      <c r="L169" s="599"/>
    </row>
    <row r="170" spans="1:12" s="90" customFormat="1" ht="12.75" customHeight="1">
      <c r="A170" s="99" t="s">
        <v>114</v>
      </c>
      <c r="B170" s="116" t="s">
        <v>181</v>
      </c>
      <c r="C170" s="106"/>
      <c r="D170" s="106"/>
      <c r="E170" s="106"/>
      <c r="F170" s="599"/>
      <c r="G170" s="99" t="s">
        <v>115</v>
      </c>
      <c r="H170" s="116" t="s">
        <v>211</v>
      </c>
      <c r="I170" s="106"/>
      <c r="J170" s="106"/>
      <c r="K170" s="106"/>
      <c r="L170" s="599"/>
    </row>
    <row r="171" spans="1:12" s="90" customFormat="1" ht="12.75" customHeight="1">
      <c r="A171" s="112" t="s">
        <v>45</v>
      </c>
      <c r="B171" s="100" t="s">
        <v>118</v>
      </c>
      <c r="C171" s="101"/>
      <c r="D171" s="101"/>
      <c r="E171" s="101"/>
      <c r="F171" s="102"/>
      <c r="G171" s="112" t="s">
        <v>45</v>
      </c>
      <c r="H171" s="100" t="s">
        <v>130</v>
      </c>
      <c r="I171" s="101">
        <f>I174+I173+I172</f>
        <v>308348</v>
      </c>
      <c r="J171" s="101">
        <f>J174+J173+J172</f>
        <v>308348</v>
      </c>
      <c r="K171" s="101">
        <v>308348</v>
      </c>
      <c r="L171" s="102">
        <f>+K171/J171</f>
        <v>1</v>
      </c>
    </row>
    <row r="172" spans="1:12" s="90" customFormat="1" ht="12.75" customHeight="1">
      <c r="A172" s="112" t="s">
        <v>111</v>
      </c>
      <c r="B172" s="100" t="s">
        <v>106</v>
      </c>
      <c r="C172" s="106"/>
      <c r="D172" s="106"/>
      <c r="E172" s="106"/>
      <c r="F172" s="599"/>
      <c r="G172" s="112" t="s">
        <v>111</v>
      </c>
      <c r="H172" s="100" t="s">
        <v>131</v>
      </c>
      <c r="I172" s="106"/>
      <c r="J172" s="106"/>
      <c r="K172" s="106"/>
      <c r="L172" s="599"/>
    </row>
    <row r="173" spans="1:12" s="90" customFormat="1" ht="12.75" customHeight="1">
      <c r="A173" s="112" t="s">
        <v>112</v>
      </c>
      <c r="B173" s="100" t="s">
        <v>39</v>
      </c>
      <c r="C173" s="106"/>
      <c r="D173" s="106"/>
      <c r="E173" s="106"/>
      <c r="F173" s="599"/>
      <c r="G173" s="112" t="s">
        <v>112</v>
      </c>
      <c r="H173" s="100" t="s">
        <v>87</v>
      </c>
      <c r="I173" s="106"/>
      <c r="J173" s="106"/>
      <c r="K173" s="106"/>
      <c r="L173" s="599"/>
    </row>
    <row r="174" spans="1:12" s="90" customFormat="1" ht="12.75" customHeight="1">
      <c r="A174" s="112" t="s">
        <v>113</v>
      </c>
      <c r="B174" s="100" t="s">
        <v>201</v>
      </c>
      <c r="C174" s="106"/>
      <c r="D174" s="106"/>
      <c r="E174" s="106"/>
      <c r="F174" s="599"/>
      <c r="G174" s="112" t="s">
        <v>113</v>
      </c>
      <c r="H174" s="100" t="s">
        <v>90</v>
      </c>
      <c r="I174" s="106">
        <v>308348</v>
      </c>
      <c r="J174" s="106">
        <v>308348</v>
      </c>
      <c r="K174" s="106">
        <v>308348</v>
      </c>
      <c r="L174" s="599">
        <f>+K174/J174</f>
        <v>1</v>
      </c>
    </row>
    <row r="175" spans="1:12" s="90" customFormat="1" ht="12.75" customHeight="1">
      <c r="A175" s="112" t="s">
        <v>56</v>
      </c>
      <c r="B175" s="100" t="s">
        <v>126</v>
      </c>
      <c r="C175" s="101"/>
      <c r="D175" s="101"/>
      <c r="E175" s="101"/>
      <c r="F175" s="102"/>
      <c r="G175" s="112" t="s">
        <v>56</v>
      </c>
      <c r="H175" s="100" t="s">
        <v>132</v>
      </c>
      <c r="I175" s="101"/>
      <c r="J175" s="101"/>
      <c r="K175" s="101"/>
      <c r="L175" s="102"/>
    </row>
    <row r="176" spans="1:12" s="90" customFormat="1" ht="12.75" customHeight="1">
      <c r="A176" s="99" t="s">
        <v>64</v>
      </c>
      <c r="B176" s="116" t="s">
        <v>127</v>
      </c>
      <c r="C176" s="101">
        <v>308348</v>
      </c>
      <c r="D176" s="101">
        <v>308348</v>
      </c>
      <c r="E176" s="101">
        <v>308348</v>
      </c>
      <c r="F176" s="102">
        <f>+E176/D176</f>
        <v>1</v>
      </c>
      <c r="G176" s="99" t="s">
        <v>64</v>
      </c>
      <c r="H176" s="116" t="s">
        <v>133</v>
      </c>
      <c r="I176" s="101"/>
      <c r="J176" s="101"/>
      <c r="K176" s="101"/>
      <c r="L176" s="102"/>
    </row>
    <row r="177" spans="1:12" s="124" customFormat="1" ht="12.75" customHeight="1" thickBot="1">
      <c r="A177" s="117"/>
      <c r="B177" s="118" t="s">
        <v>148</v>
      </c>
      <c r="C177" s="88">
        <f>+C165+C171+C175+C176</f>
        <v>308348</v>
      </c>
      <c r="D177" s="88">
        <f>+D165+D171+D175+D176</f>
        <v>308348</v>
      </c>
      <c r="E177" s="88">
        <f>+E165+E171+E175+E176</f>
        <v>308348</v>
      </c>
      <c r="F177" s="119">
        <f>+E177/D177</f>
        <v>1</v>
      </c>
      <c r="G177" s="117"/>
      <c r="H177" s="118" t="s">
        <v>149</v>
      </c>
      <c r="I177" s="88">
        <f>I165+I171+I175+I176</f>
        <v>308348</v>
      </c>
      <c r="J177" s="88">
        <f>J165+J171+J175+J176</f>
        <v>308348</v>
      </c>
      <c r="K177" s="88">
        <f>K165+K171+K175+K176</f>
        <v>308348</v>
      </c>
      <c r="L177" s="119">
        <f>+K177/J177</f>
        <v>1</v>
      </c>
    </row>
    <row r="178" spans="1:12" s="126" customFormat="1" ht="12.75" customHeight="1">
      <c r="A178" s="124"/>
      <c r="B178" s="124"/>
      <c r="C178" s="93"/>
      <c r="D178" s="93"/>
      <c r="E178" s="93"/>
      <c r="F178" s="93"/>
      <c r="G178" s="124"/>
      <c r="H178" s="124"/>
      <c r="I178" s="93"/>
      <c r="J178" s="93"/>
      <c r="K178" s="93"/>
      <c r="L178" s="93"/>
    </row>
    <row r="179" spans="1:12" s="90" customFormat="1" ht="12.75" customHeight="1" thickBot="1">
      <c r="A179" s="90" t="s">
        <v>283</v>
      </c>
      <c r="B179" s="124"/>
      <c r="E179" s="93"/>
      <c r="F179" s="93"/>
      <c r="G179" s="124"/>
      <c r="H179" s="124"/>
      <c r="I179" s="595"/>
      <c r="J179" s="595"/>
      <c r="K179" s="93"/>
      <c r="L179" s="595" t="s">
        <v>216</v>
      </c>
    </row>
    <row r="180" spans="1:12" s="90" customFormat="1" ht="24.75" customHeight="1">
      <c r="A180" s="96"/>
      <c r="B180" s="97" t="s">
        <v>104</v>
      </c>
      <c r="C180" s="86" t="s">
        <v>227</v>
      </c>
      <c r="D180" s="86" t="s">
        <v>844</v>
      </c>
      <c r="E180" s="86" t="s">
        <v>303</v>
      </c>
      <c r="F180" s="87" t="s">
        <v>304</v>
      </c>
      <c r="G180" s="96">
        <v>116</v>
      </c>
      <c r="H180" s="97" t="s">
        <v>105</v>
      </c>
      <c r="I180" s="86" t="s">
        <v>227</v>
      </c>
      <c r="J180" s="86" t="s">
        <v>844</v>
      </c>
      <c r="K180" s="86" t="s">
        <v>303</v>
      </c>
      <c r="L180" s="87" t="s">
        <v>304</v>
      </c>
    </row>
    <row r="181" spans="1:12" s="90" customFormat="1" ht="12.75" customHeight="1">
      <c r="A181" s="99" t="s">
        <v>23</v>
      </c>
      <c r="B181" s="100" t="s">
        <v>108</v>
      </c>
      <c r="C181" s="101"/>
      <c r="D181" s="101"/>
      <c r="E181" s="101"/>
      <c r="F181" s="102"/>
      <c r="G181" s="99" t="s">
        <v>23</v>
      </c>
      <c r="H181" s="100" t="s">
        <v>129</v>
      </c>
      <c r="I181" s="101">
        <f>SUM(I182:I186)</f>
        <v>1333909</v>
      </c>
      <c r="J181" s="101">
        <f>SUM(J182:J186)</f>
        <v>1333909</v>
      </c>
      <c r="K181" s="101">
        <f>SUM(K182:K186)</f>
        <v>1182526</v>
      </c>
      <c r="L181" s="102">
        <f>+K181/J181</f>
        <v>0.8865117485525624</v>
      </c>
    </row>
    <row r="182" spans="1:12" s="90" customFormat="1" ht="12.75" customHeight="1">
      <c r="A182" s="99" t="s">
        <v>111</v>
      </c>
      <c r="B182" s="116" t="s">
        <v>209</v>
      </c>
      <c r="C182" s="106"/>
      <c r="D182" s="106"/>
      <c r="E182" s="106"/>
      <c r="F182" s="599"/>
      <c r="G182" s="99" t="s">
        <v>111</v>
      </c>
      <c r="H182" s="116" t="s">
        <v>80</v>
      </c>
      <c r="I182" s="106">
        <v>1011132</v>
      </c>
      <c r="J182" s="106">
        <v>1011132</v>
      </c>
      <c r="K182" s="106">
        <v>1011132</v>
      </c>
      <c r="L182" s="599">
        <f>+K182/J182</f>
        <v>1</v>
      </c>
    </row>
    <row r="183" spans="1:12" s="90" customFormat="1" ht="12.75" customHeight="1">
      <c r="A183" s="99"/>
      <c r="B183" s="116" t="s">
        <v>210</v>
      </c>
      <c r="C183" s="106"/>
      <c r="D183" s="106"/>
      <c r="E183" s="106"/>
      <c r="F183" s="599"/>
      <c r="G183" s="99" t="s">
        <v>112</v>
      </c>
      <c r="H183" s="116" t="s">
        <v>147</v>
      </c>
      <c r="I183" s="106">
        <v>171394</v>
      </c>
      <c r="J183" s="106">
        <v>171394</v>
      </c>
      <c r="K183" s="106">
        <v>171394</v>
      </c>
      <c r="L183" s="599">
        <f>+K183/J183</f>
        <v>1</v>
      </c>
    </row>
    <row r="184" spans="1:12" s="90" customFormat="1" ht="12.75" customHeight="1">
      <c r="A184" s="99" t="s">
        <v>112</v>
      </c>
      <c r="B184" s="116" t="s">
        <v>9</v>
      </c>
      <c r="C184" s="106"/>
      <c r="D184" s="106"/>
      <c r="E184" s="106"/>
      <c r="F184" s="599"/>
      <c r="G184" s="99" t="s">
        <v>113</v>
      </c>
      <c r="H184" s="116" t="s">
        <v>83</v>
      </c>
      <c r="I184" s="106"/>
      <c r="J184" s="106"/>
      <c r="K184" s="106"/>
      <c r="L184" s="599"/>
    </row>
    <row r="185" spans="1:12" s="90" customFormat="1" ht="12.75" customHeight="1">
      <c r="A185" s="99" t="s">
        <v>113</v>
      </c>
      <c r="B185" s="116" t="s">
        <v>170</v>
      </c>
      <c r="C185" s="106"/>
      <c r="D185" s="106"/>
      <c r="E185" s="106"/>
      <c r="F185" s="599"/>
      <c r="G185" s="99" t="s">
        <v>114</v>
      </c>
      <c r="H185" s="116" t="s">
        <v>84</v>
      </c>
      <c r="I185" s="106"/>
      <c r="J185" s="106"/>
      <c r="K185" s="106"/>
      <c r="L185" s="599"/>
    </row>
    <row r="186" spans="1:12" s="90" customFormat="1" ht="12.75" customHeight="1">
      <c r="A186" s="99" t="s">
        <v>114</v>
      </c>
      <c r="B186" s="116" t="s">
        <v>181</v>
      </c>
      <c r="C186" s="106"/>
      <c r="D186" s="106"/>
      <c r="E186" s="106"/>
      <c r="F186" s="599"/>
      <c r="G186" s="99" t="s">
        <v>115</v>
      </c>
      <c r="H186" s="116" t="s">
        <v>211</v>
      </c>
      <c r="I186" s="106">
        <v>151383</v>
      </c>
      <c r="J186" s="106">
        <v>151383</v>
      </c>
      <c r="K186" s="106">
        <v>0</v>
      </c>
      <c r="L186" s="599">
        <f>+K186/J186+IF(L186=0/0,0%)</f>
        <v>0</v>
      </c>
    </row>
    <row r="187" spans="1:12" s="90" customFormat="1" ht="12.75" customHeight="1">
      <c r="A187" s="112" t="s">
        <v>45</v>
      </c>
      <c r="B187" s="100" t="s">
        <v>118</v>
      </c>
      <c r="C187" s="101"/>
      <c r="D187" s="101"/>
      <c r="E187" s="101"/>
      <c r="F187" s="102"/>
      <c r="G187" s="112" t="s">
        <v>45</v>
      </c>
      <c r="H187" s="100" t="s">
        <v>130</v>
      </c>
      <c r="I187" s="101"/>
      <c r="J187" s="101"/>
      <c r="K187" s="101"/>
      <c r="L187" s="102"/>
    </row>
    <row r="188" spans="1:12" s="90" customFormat="1" ht="12.75" customHeight="1">
      <c r="A188" s="112" t="s">
        <v>111</v>
      </c>
      <c r="B188" s="100" t="s">
        <v>106</v>
      </c>
      <c r="C188" s="106"/>
      <c r="D188" s="106"/>
      <c r="E188" s="106"/>
      <c r="F188" s="599"/>
      <c r="G188" s="112" t="s">
        <v>111</v>
      </c>
      <c r="H188" s="100" t="s">
        <v>131</v>
      </c>
      <c r="I188" s="106"/>
      <c r="J188" s="106"/>
      <c r="K188" s="106"/>
      <c r="L188" s="599"/>
    </row>
    <row r="189" spans="1:12" s="90" customFormat="1" ht="12.75" customHeight="1">
      <c r="A189" s="112" t="s">
        <v>112</v>
      </c>
      <c r="B189" s="100" t="s">
        <v>39</v>
      </c>
      <c r="C189" s="106"/>
      <c r="D189" s="106"/>
      <c r="E189" s="106"/>
      <c r="F189" s="599"/>
      <c r="G189" s="112" t="s">
        <v>112</v>
      </c>
      <c r="H189" s="100" t="s">
        <v>87</v>
      </c>
      <c r="I189" s="106"/>
      <c r="J189" s="106"/>
      <c r="K189" s="106"/>
      <c r="L189" s="599"/>
    </row>
    <row r="190" spans="1:12" s="90" customFormat="1" ht="12.75" customHeight="1">
      <c r="A190" s="112" t="s">
        <v>113</v>
      </c>
      <c r="B190" s="100" t="s">
        <v>201</v>
      </c>
      <c r="C190" s="106"/>
      <c r="D190" s="106"/>
      <c r="E190" s="106"/>
      <c r="F190" s="599"/>
      <c r="G190" s="112" t="s">
        <v>113</v>
      </c>
      <c r="H190" s="100" t="s">
        <v>90</v>
      </c>
      <c r="I190" s="106"/>
      <c r="J190" s="106"/>
      <c r="K190" s="106"/>
      <c r="L190" s="599"/>
    </row>
    <row r="191" spans="1:12" s="90" customFormat="1" ht="12.75" customHeight="1">
      <c r="A191" s="112" t="s">
        <v>56</v>
      </c>
      <c r="B191" s="100" t="s">
        <v>126</v>
      </c>
      <c r="C191" s="101">
        <v>1333909</v>
      </c>
      <c r="D191" s="101">
        <v>1333909</v>
      </c>
      <c r="E191" s="101">
        <v>1333909</v>
      </c>
      <c r="F191" s="102">
        <f>+E191/D191</f>
        <v>1</v>
      </c>
      <c r="G191" s="112" t="s">
        <v>56</v>
      </c>
      <c r="H191" s="100" t="s">
        <v>132</v>
      </c>
      <c r="I191" s="101"/>
      <c r="J191" s="101"/>
      <c r="K191" s="101"/>
      <c r="L191" s="102"/>
    </row>
    <row r="192" spans="1:12" s="90" customFormat="1" ht="12.75" customHeight="1">
      <c r="A192" s="99" t="s">
        <v>64</v>
      </c>
      <c r="B192" s="116" t="s">
        <v>127</v>
      </c>
      <c r="C192" s="101"/>
      <c r="D192" s="101"/>
      <c r="E192" s="101"/>
      <c r="F192" s="102"/>
      <c r="G192" s="99" t="s">
        <v>64</v>
      </c>
      <c r="H192" s="116" t="s">
        <v>133</v>
      </c>
      <c r="I192" s="101"/>
      <c r="J192" s="101"/>
      <c r="K192" s="101"/>
      <c r="L192" s="102"/>
    </row>
    <row r="193" spans="1:12" s="124" customFormat="1" ht="12.75" customHeight="1" thickBot="1">
      <c r="A193" s="117"/>
      <c r="B193" s="118" t="s">
        <v>148</v>
      </c>
      <c r="C193" s="88">
        <f>+C181+C187+C191+C192</f>
        <v>1333909</v>
      </c>
      <c r="D193" s="88">
        <f>+D181+D187+D191+D192</f>
        <v>1333909</v>
      </c>
      <c r="E193" s="88">
        <f>+E181+E187+E191+E192</f>
        <v>1333909</v>
      </c>
      <c r="F193" s="119">
        <f>+E193/D193</f>
        <v>1</v>
      </c>
      <c r="G193" s="117"/>
      <c r="H193" s="118" t="s">
        <v>149</v>
      </c>
      <c r="I193" s="88">
        <f>I181+I187+I191+I192</f>
        <v>1333909</v>
      </c>
      <c r="J193" s="88">
        <f>J181+J187+J191+J192</f>
        <v>1333909</v>
      </c>
      <c r="K193" s="88">
        <f>K181+K187+K191+K192</f>
        <v>1182526</v>
      </c>
      <c r="L193" s="119">
        <f>+K193/J193</f>
        <v>0.8865117485525624</v>
      </c>
    </row>
    <row r="194" spans="1:12" s="126" customFormat="1" ht="12.75" customHeight="1">
      <c r="A194" s="124"/>
      <c r="B194" s="124"/>
      <c r="C194" s="93"/>
      <c r="D194" s="93"/>
      <c r="E194" s="93"/>
      <c r="F194" s="93"/>
      <c r="G194" s="124"/>
      <c r="H194" s="124"/>
      <c r="I194" s="93"/>
      <c r="J194" s="93"/>
      <c r="K194" s="93"/>
      <c r="L194" s="93"/>
    </row>
    <row r="195" spans="1:12" s="90" customFormat="1" ht="12.75" customHeight="1" thickBot="1">
      <c r="A195" s="90" t="s">
        <v>286</v>
      </c>
      <c r="B195" s="124"/>
      <c r="E195" s="93"/>
      <c r="F195" s="93"/>
      <c r="G195" s="124"/>
      <c r="H195" s="124"/>
      <c r="I195" s="595"/>
      <c r="J195" s="595"/>
      <c r="K195" s="93"/>
      <c r="L195" s="595" t="s">
        <v>216</v>
      </c>
    </row>
    <row r="196" spans="1:12" s="90" customFormat="1" ht="24.75" customHeight="1">
      <c r="A196" s="96"/>
      <c r="B196" s="97" t="s">
        <v>104</v>
      </c>
      <c r="C196" s="86" t="s">
        <v>227</v>
      </c>
      <c r="D196" s="86" t="s">
        <v>844</v>
      </c>
      <c r="E196" s="86" t="s">
        <v>303</v>
      </c>
      <c r="F196" s="87" t="s">
        <v>304</v>
      </c>
      <c r="G196" s="96">
        <v>124</v>
      </c>
      <c r="H196" s="97" t="s">
        <v>105</v>
      </c>
      <c r="I196" s="86" t="s">
        <v>227</v>
      </c>
      <c r="J196" s="86" t="s">
        <v>844</v>
      </c>
      <c r="K196" s="86" t="s">
        <v>303</v>
      </c>
      <c r="L196" s="87" t="s">
        <v>304</v>
      </c>
    </row>
    <row r="197" spans="1:12" s="90" customFormat="1" ht="12.75" customHeight="1">
      <c r="A197" s="99" t="s">
        <v>23</v>
      </c>
      <c r="B197" s="100" t="s">
        <v>108</v>
      </c>
      <c r="C197" s="101">
        <f>+C198+C200+C201+C202</f>
        <v>1529711</v>
      </c>
      <c r="D197" s="101">
        <f>+D198+D200+D201+D202</f>
        <v>1529711</v>
      </c>
      <c r="E197" s="101">
        <f>+E198+E200+E201+E202</f>
        <v>1529711</v>
      </c>
      <c r="F197" s="102">
        <f>E197/D197</f>
        <v>1</v>
      </c>
      <c r="G197" s="99" t="s">
        <v>23</v>
      </c>
      <c r="H197" s="100" t="s">
        <v>129</v>
      </c>
      <c r="I197" s="101">
        <f>SUM(I198:I202)</f>
        <v>1529711</v>
      </c>
      <c r="J197" s="101">
        <f>SUM(J198:J202)</f>
        <v>1529711</v>
      </c>
      <c r="K197" s="101">
        <f>SUM(K198:K202)</f>
        <v>1368509</v>
      </c>
      <c r="L197" s="102">
        <f>K197/J197</f>
        <v>0.894619310444914</v>
      </c>
    </row>
    <row r="198" spans="1:12" s="90" customFormat="1" ht="12.75" customHeight="1">
      <c r="A198" s="99" t="s">
        <v>111</v>
      </c>
      <c r="B198" s="116" t="s">
        <v>209</v>
      </c>
      <c r="C198" s="106">
        <f>C199</f>
        <v>1529711</v>
      </c>
      <c r="D198" s="106">
        <f>D199</f>
        <v>1529711</v>
      </c>
      <c r="E198" s="106">
        <v>1529711</v>
      </c>
      <c r="F198" s="599">
        <f>E198/D198</f>
        <v>1</v>
      </c>
      <c r="G198" s="99" t="s">
        <v>111</v>
      </c>
      <c r="H198" s="116" t="s">
        <v>80</v>
      </c>
      <c r="I198" s="106">
        <v>1164689</v>
      </c>
      <c r="J198" s="106">
        <v>1164689</v>
      </c>
      <c r="K198" s="106">
        <v>1164689</v>
      </c>
      <c r="L198" s="599">
        <f>K198/J198</f>
        <v>1</v>
      </c>
    </row>
    <row r="199" spans="1:12" s="90" customFormat="1" ht="12.75" customHeight="1">
      <c r="A199" s="99"/>
      <c r="B199" s="116" t="s">
        <v>210</v>
      </c>
      <c r="C199" s="106">
        <v>1529711</v>
      </c>
      <c r="D199" s="106">
        <v>1529711</v>
      </c>
      <c r="E199" s="106">
        <v>1529711</v>
      </c>
      <c r="F199" s="599">
        <f>E199/D199</f>
        <v>1</v>
      </c>
      <c r="G199" s="99" t="s">
        <v>112</v>
      </c>
      <c r="H199" s="116" t="s">
        <v>147</v>
      </c>
      <c r="I199" s="106">
        <v>203820</v>
      </c>
      <c r="J199" s="106">
        <v>203820</v>
      </c>
      <c r="K199" s="106">
        <v>203820</v>
      </c>
      <c r="L199" s="599">
        <f>K199/J199</f>
        <v>1</v>
      </c>
    </row>
    <row r="200" spans="1:12" s="90" customFormat="1" ht="12.75" customHeight="1">
      <c r="A200" s="99" t="s">
        <v>112</v>
      </c>
      <c r="B200" s="116" t="s">
        <v>9</v>
      </c>
      <c r="C200" s="106"/>
      <c r="D200" s="106"/>
      <c r="E200" s="106"/>
      <c r="F200" s="599"/>
      <c r="G200" s="99" t="s">
        <v>113</v>
      </c>
      <c r="H200" s="116" t="s">
        <v>83</v>
      </c>
      <c r="I200" s="106">
        <f>161202-4826</f>
        <v>156376</v>
      </c>
      <c r="J200" s="106">
        <f>161202-4826</f>
        <v>156376</v>
      </c>
      <c r="K200" s="106">
        <v>0</v>
      </c>
      <c r="L200" s="599">
        <f>K200/J200</f>
        <v>0</v>
      </c>
    </row>
    <row r="201" spans="1:12" s="90" customFormat="1" ht="12.75" customHeight="1">
      <c r="A201" s="99" t="s">
        <v>113</v>
      </c>
      <c r="B201" s="116" t="s">
        <v>170</v>
      </c>
      <c r="C201" s="106"/>
      <c r="D201" s="106"/>
      <c r="E201" s="106"/>
      <c r="F201" s="599"/>
      <c r="G201" s="99" t="s">
        <v>114</v>
      </c>
      <c r="H201" s="116" t="s">
        <v>84</v>
      </c>
      <c r="I201" s="106"/>
      <c r="J201" s="106"/>
      <c r="K201" s="106"/>
      <c r="L201" s="599"/>
    </row>
    <row r="202" spans="1:12" s="90" customFormat="1" ht="12.75" customHeight="1">
      <c r="A202" s="99" t="s">
        <v>114</v>
      </c>
      <c r="B202" s="116" t="s">
        <v>181</v>
      </c>
      <c r="C202" s="106"/>
      <c r="D202" s="106"/>
      <c r="E202" s="106"/>
      <c r="F202" s="599"/>
      <c r="G202" s="99" t="s">
        <v>115</v>
      </c>
      <c r="H202" s="116" t="s">
        <v>211</v>
      </c>
      <c r="I202" s="106">
        <v>4826</v>
      </c>
      <c r="J202" s="106">
        <v>4826</v>
      </c>
      <c r="K202" s="106">
        <v>0</v>
      </c>
      <c r="L202" s="599">
        <f>K202/J202</f>
        <v>0</v>
      </c>
    </row>
    <row r="203" spans="1:12" s="90" customFormat="1" ht="12.75" customHeight="1">
      <c r="A203" s="112" t="s">
        <v>45</v>
      </c>
      <c r="B203" s="100" t="s">
        <v>118</v>
      </c>
      <c r="C203" s="101"/>
      <c r="D203" s="101"/>
      <c r="E203" s="101"/>
      <c r="F203" s="102"/>
      <c r="G203" s="112" t="s">
        <v>45</v>
      </c>
      <c r="H203" s="100" t="s">
        <v>130</v>
      </c>
      <c r="I203" s="101"/>
      <c r="J203" s="101"/>
      <c r="K203" s="101"/>
      <c r="L203" s="102"/>
    </row>
    <row r="204" spans="1:12" s="90" customFormat="1" ht="12.75" customHeight="1">
      <c r="A204" s="112" t="s">
        <v>111</v>
      </c>
      <c r="B204" s="100" t="s">
        <v>106</v>
      </c>
      <c r="C204" s="106"/>
      <c r="D204" s="106"/>
      <c r="E204" s="106"/>
      <c r="F204" s="599"/>
      <c r="G204" s="112" t="s">
        <v>111</v>
      </c>
      <c r="H204" s="100" t="s">
        <v>131</v>
      </c>
      <c r="I204" s="106"/>
      <c r="J204" s="106"/>
      <c r="K204" s="106"/>
      <c r="L204" s="599"/>
    </row>
    <row r="205" spans="1:12" s="90" customFormat="1" ht="12.75" customHeight="1">
      <c r="A205" s="112" t="s">
        <v>112</v>
      </c>
      <c r="B205" s="100" t="s">
        <v>39</v>
      </c>
      <c r="C205" s="106"/>
      <c r="D205" s="106"/>
      <c r="E205" s="106"/>
      <c r="F205" s="599"/>
      <c r="G205" s="112" t="s">
        <v>112</v>
      </c>
      <c r="H205" s="100" t="s">
        <v>87</v>
      </c>
      <c r="I205" s="106"/>
      <c r="J205" s="106"/>
      <c r="K205" s="106"/>
      <c r="L205" s="599"/>
    </row>
    <row r="206" spans="1:12" s="90" customFormat="1" ht="12.75" customHeight="1">
      <c r="A206" s="112" t="s">
        <v>113</v>
      </c>
      <c r="B206" s="100" t="s">
        <v>201</v>
      </c>
      <c r="C206" s="106"/>
      <c r="D206" s="106"/>
      <c r="E206" s="106"/>
      <c r="F206" s="599"/>
      <c r="G206" s="112" t="s">
        <v>113</v>
      </c>
      <c r="H206" s="100" t="s">
        <v>90</v>
      </c>
      <c r="I206" s="106"/>
      <c r="J206" s="106"/>
      <c r="K206" s="106"/>
      <c r="L206" s="599"/>
    </row>
    <row r="207" spans="1:12" s="90" customFormat="1" ht="12.75" customHeight="1">
      <c r="A207" s="112" t="s">
        <v>56</v>
      </c>
      <c r="B207" s="100" t="s">
        <v>126</v>
      </c>
      <c r="C207" s="101"/>
      <c r="D207" s="101"/>
      <c r="E207" s="101"/>
      <c r="F207" s="102"/>
      <c r="G207" s="112" t="s">
        <v>56</v>
      </c>
      <c r="H207" s="100" t="s">
        <v>132</v>
      </c>
      <c r="I207" s="101"/>
      <c r="J207" s="101"/>
      <c r="K207" s="101"/>
      <c r="L207" s="102"/>
    </row>
    <row r="208" spans="1:12" s="90" customFormat="1" ht="12.75" customHeight="1">
      <c r="A208" s="99" t="s">
        <v>64</v>
      </c>
      <c r="B208" s="116" t="s">
        <v>127</v>
      </c>
      <c r="C208" s="101"/>
      <c r="D208" s="101"/>
      <c r="E208" s="101"/>
      <c r="F208" s="102"/>
      <c r="G208" s="99" t="s">
        <v>64</v>
      </c>
      <c r="H208" s="116" t="s">
        <v>133</v>
      </c>
      <c r="I208" s="101"/>
      <c r="J208" s="101"/>
      <c r="K208" s="101"/>
      <c r="L208" s="102"/>
    </row>
    <row r="209" spans="1:12" s="124" customFormat="1" ht="12.75" customHeight="1" thickBot="1">
      <c r="A209" s="117"/>
      <c r="B209" s="118" t="s">
        <v>148</v>
      </c>
      <c r="C209" s="88">
        <f>+C197+C203+C207+C208</f>
        <v>1529711</v>
      </c>
      <c r="D209" s="88">
        <f>+D197+D203+D207+D208</f>
        <v>1529711</v>
      </c>
      <c r="E209" s="88">
        <f>+E197+E203+E207+E208</f>
        <v>1529711</v>
      </c>
      <c r="F209" s="119">
        <f>E209/D209</f>
        <v>1</v>
      </c>
      <c r="G209" s="117"/>
      <c r="H209" s="118" t="s">
        <v>149</v>
      </c>
      <c r="I209" s="88">
        <f>I197+I203+I207+I208</f>
        <v>1529711</v>
      </c>
      <c r="J209" s="88">
        <f>J197+J203+J207+J208</f>
        <v>1529711</v>
      </c>
      <c r="K209" s="88">
        <f>K197+K203+K207+K208</f>
        <v>1368509</v>
      </c>
      <c r="L209" s="119">
        <f>K209/J209</f>
        <v>0.894619310444914</v>
      </c>
    </row>
    <row r="210" spans="1:12" s="126" customFormat="1" ht="15">
      <c r="A210" s="124"/>
      <c r="B210" s="124"/>
      <c r="C210" s="93"/>
      <c r="D210" s="93"/>
      <c r="E210" s="93"/>
      <c r="F210" s="93"/>
      <c r="G210" s="124"/>
      <c r="H210" s="124"/>
      <c r="I210" s="93"/>
      <c r="J210" s="93"/>
      <c r="K210" s="93"/>
      <c r="L210" s="93"/>
    </row>
    <row r="211" spans="1:12" s="90" customFormat="1" ht="12.75" customHeight="1" thickBot="1">
      <c r="A211" s="90" t="s">
        <v>251</v>
      </c>
      <c r="B211" s="124"/>
      <c r="C211" s="93"/>
      <c r="D211" s="93"/>
      <c r="E211" s="93"/>
      <c r="F211" s="93"/>
      <c r="G211" s="124"/>
      <c r="H211" s="124"/>
      <c r="I211" s="93"/>
      <c r="J211" s="93"/>
      <c r="K211" s="93"/>
      <c r="L211" s="595" t="s">
        <v>216</v>
      </c>
    </row>
    <row r="212" spans="1:12" s="90" customFormat="1" ht="24.75" customHeight="1">
      <c r="A212" s="96"/>
      <c r="B212" s="97" t="s">
        <v>104</v>
      </c>
      <c r="C212" s="86" t="s">
        <v>227</v>
      </c>
      <c r="D212" s="86" t="s">
        <v>844</v>
      </c>
      <c r="E212" s="86" t="s">
        <v>303</v>
      </c>
      <c r="F212" s="87" t="s">
        <v>304</v>
      </c>
      <c r="G212" s="96">
        <v>31</v>
      </c>
      <c r="H212" s="97" t="s">
        <v>105</v>
      </c>
      <c r="I212" s="86" t="s">
        <v>227</v>
      </c>
      <c r="J212" s="86" t="s">
        <v>844</v>
      </c>
      <c r="K212" s="86" t="s">
        <v>303</v>
      </c>
      <c r="L212" s="87" t="s">
        <v>304</v>
      </c>
    </row>
    <row r="213" spans="1:12" s="90" customFormat="1" ht="12.75" customHeight="1">
      <c r="A213" s="99" t="s">
        <v>23</v>
      </c>
      <c r="B213" s="100" t="s">
        <v>108</v>
      </c>
      <c r="C213" s="101"/>
      <c r="D213" s="101"/>
      <c r="E213" s="101"/>
      <c r="F213" s="102"/>
      <c r="G213" s="99" t="s">
        <v>23</v>
      </c>
      <c r="H213" s="100" t="s">
        <v>129</v>
      </c>
      <c r="I213" s="101">
        <f>SUM(I214:I218)</f>
        <v>916737</v>
      </c>
      <c r="J213" s="101">
        <f>SUM(J214:J218)</f>
        <v>916737</v>
      </c>
      <c r="K213" s="101">
        <f>SUM(K214:K218)</f>
        <v>276929</v>
      </c>
      <c r="L213" s="102">
        <f>+K213/J213</f>
        <v>0.3020811857708372</v>
      </c>
    </row>
    <row r="214" spans="1:12" s="90" customFormat="1" ht="12.75" customHeight="1">
      <c r="A214" s="99" t="s">
        <v>111</v>
      </c>
      <c r="B214" s="116" t="s">
        <v>209</v>
      </c>
      <c r="C214" s="106"/>
      <c r="D214" s="106"/>
      <c r="E214" s="106"/>
      <c r="F214" s="599"/>
      <c r="G214" s="99" t="s">
        <v>111</v>
      </c>
      <c r="H214" s="116" t="s">
        <v>80</v>
      </c>
      <c r="I214" s="106">
        <v>459560</v>
      </c>
      <c r="J214" s="106">
        <v>459560</v>
      </c>
      <c r="K214" s="106">
        <v>234690</v>
      </c>
      <c r="L214" s="599">
        <f>+K214/J214</f>
        <v>0.5106841326486204</v>
      </c>
    </row>
    <row r="215" spans="1:12" s="90" customFormat="1" ht="12.75" customHeight="1">
      <c r="A215" s="99"/>
      <c r="B215" s="116" t="s">
        <v>210</v>
      </c>
      <c r="C215" s="106"/>
      <c r="D215" s="106"/>
      <c r="E215" s="106"/>
      <c r="F215" s="599"/>
      <c r="G215" s="99" t="s">
        <v>112</v>
      </c>
      <c r="H215" s="116" t="s">
        <v>147</v>
      </c>
      <c r="I215" s="106">
        <v>147177</v>
      </c>
      <c r="J215" s="106">
        <v>147177</v>
      </c>
      <c r="K215" s="106">
        <v>38048</v>
      </c>
      <c r="L215" s="599">
        <f>+K215/J215</f>
        <v>0.25851865440931665</v>
      </c>
    </row>
    <row r="216" spans="1:12" s="90" customFormat="1" ht="12.75" customHeight="1">
      <c r="A216" s="99" t="s">
        <v>112</v>
      </c>
      <c r="B216" s="116" t="s">
        <v>9</v>
      </c>
      <c r="C216" s="106"/>
      <c r="D216" s="106"/>
      <c r="E216" s="106"/>
      <c r="F216" s="599"/>
      <c r="G216" s="99" t="s">
        <v>113</v>
      </c>
      <c r="H216" s="116" t="s">
        <v>83</v>
      </c>
      <c r="I216" s="106">
        <f>245000+65000</f>
        <v>310000</v>
      </c>
      <c r="J216" s="106">
        <f>245000+65000</f>
        <v>310000</v>
      </c>
      <c r="K216" s="106">
        <v>4191</v>
      </c>
      <c r="L216" s="599">
        <f>K216/J216</f>
        <v>0.013519354838709677</v>
      </c>
    </row>
    <row r="217" spans="1:12" s="90" customFormat="1" ht="12.75" customHeight="1">
      <c r="A217" s="99" t="s">
        <v>113</v>
      </c>
      <c r="B217" s="116" t="s">
        <v>170</v>
      </c>
      <c r="C217" s="106"/>
      <c r="D217" s="106"/>
      <c r="E217" s="106"/>
      <c r="F217" s="599"/>
      <c r="G217" s="99" t="s">
        <v>114</v>
      </c>
      <c r="H217" s="116" t="s">
        <v>84</v>
      </c>
      <c r="I217" s="106"/>
      <c r="J217" s="106"/>
      <c r="K217" s="106"/>
      <c r="L217" s="599"/>
    </row>
    <row r="218" spans="1:12" s="90" customFormat="1" ht="12.75" customHeight="1">
      <c r="A218" s="99" t="s">
        <v>114</v>
      </c>
      <c r="B218" s="116" t="s">
        <v>181</v>
      </c>
      <c r="C218" s="106"/>
      <c r="D218" s="106"/>
      <c r="E218" s="106"/>
      <c r="F218" s="599"/>
      <c r="G218" s="99" t="s">
        <v>115</v>
      </c>
      <c r="H218" s="116" t="s">
        <v>211</v>
      </c>
      <c r="I218" s="106"/>
      <c r="J218" s="106"/>
      <c r="K218" s="106"/>
      <c r="L218" s="599"/>
    </row>
    <row r="219" spans="1:12" s="90" customFormat="1" ht="12.75" customHeight="1">
      <c r="A219" s="112" t="s">
        <v>45</v>
      </c>
      <c r="B219" s="100" t="s">
        <v>118</v>
      </c>
      <c r="C219" s="101"/>
      <c r="D219" s="101"/>
      <c r="E219" s="101"/>
      <c r="F219" s="102"/>
      <c r="G219" s="112" t="s">
        <v>45</v>
      </c>
      <c r="H219" s="100" t="s">
        <v>130</v>
      </c>
      <c r="I219" s="101"/>
      <c r="J219" s="101"/>
      <c r="K219" s="101"/>
      <c r="L219" s="102"/>
    </row>
    <row r="220" spans="1:12" s="90" customFormat="1" ht="12.75" customHeight="1">
      <c r="A220" s="112" t="s">
        <v>111</v>
      </c>
      <c r="B220" s="100" t="s">
        <v>106</v>
      </c>
      <c r="C220" s="106"/>
      <c r="D220" s="106"/>
      <c r="E220" s="106"/>
      <c r="F220" s="599"/>
      <c r="G220" s="112" t="s">
        <v>111</v>
      </c>
      <c r="H220" s="100" t="s">
        <v>131</v>
      </c>
      <c r="I220" s="106"/>
      <c r="J220" s="106"/>
      <c r="K220" s="106"/>
      <c r="L220" s="599"/>
    </row>
    <row r="221" spans="1:12" s="90" customFormat="1" ht="12.75" customHeight="1">
      <c r="A221" s="112" t="s">
        <v>112</v>
      </c>
      <c r="B221" s="100" t="s">
        <v>39</v>
      </c>
      <c r="C221" s="106"/>
      <c r="D221" s="106"/>
      <c r="E221" s="106"/>
      <c r="F221" s="599"/>
      <c r="G221" s="112" t="s">
        <v>112</v>
      </c>
      <c r="H221" s="100" t="s">
        <v>87</v>
      </c>
      <c r="I221" s="106"/>
      <c r="J221" s="106"/>
      <c r="K221" s="106"/>
      <c r="L221" s="599"/>
    </row>
    <row r="222" spans="1:12" s="90" customFormat="1" ht="12.75" customHeight="1">
      <c r="A222" s="112" t="s">
        <v>113</v>
      </c>
      <c r="B222" s="100" t="s">
        <v>201</v>
      </c>
      <c r="C222" s="106"/>
      <c r="D222" s="106"/>
      <c r="E222" s="106"/>
      <c r="F222" s="599"/>
      <c r="G222" s="112" t="s">
        <v>113</v>
      </c>
      <c r="H222" s="100" t="s">
        <v>90</v>
      </c>
      <c r="I222" s="106"/>
      <c r="J222" s="106"/>
      <c r="K222" s="106"/>
      <c r="L222" s="599"/>
    </row>
    <row r="223" spans="1:12" s="90" customFormat="1" ht="12.75" customHeight="1">
      <c r="A223" s="112" t="s">
        <v>56</v>
      </c>
      <c r="B223" s="100" t="s">
        <v>126</v>
      </c>
      <c r="C223" s="101">
        <v>916737</v>
      </c>
      <c r="D223" s="101">
        <v>916737</v>
      </c>
      <c r="E223" s="101">
        <v>916737</v>
      </c>
      <c r="F223" s="102">
        <v>1</v>
      </c>
      <c r="G223" s="112" t="s">
        <v>56</v>
      </c>
      <c r="H223" s="100" t="s">
        <v>132</v>
      </c>
      <c r="I223" s="101"/>
      <c r="J223" s="101"/>
      <c r="K223" s="101"/>
      <c r="L223" s="102"/>
    </row>
    <row r="224" spans="1:12" s="90" customFormat="1" ht="12.75" customHeight="1">
      <c r="A224" s="99" t="s">
        <v>64</v>
      </c>
      <c r="B224" s="116" t="s">
        <v>127</v>
      </c>
      <c r="C224" s="101"/>
      <c r="D224" s="101"/>
      <c r="E224" s="101"/>
      <c r="F224" s="102"/>
      <c r="G224" s="99" t="s">
        <v>64</v>
      </c>
      <c r="H224" s="116" t="s">
        <v>133</v>
      </c>
      <c r="I224" s="101"/>
      <c r="J224" s="101"/>
      <c r="K224" s="101"/>
      <c r="L224" s="102"/>
    </row>
    <row r="225" spans="1:12" s="124" customFormat="1" ht="12.75" customHeight="1" thickBot="1">
      <c r="A225" s="117"/>
      <c r="B225" s="118" t="s">
        <v>148</v>
      </c>
      <c r="C225" s="88">
        <f>+C213+C219+C223+C224</f>
        <v>916737</v>
      </c>
      <c r="D225" s="88">
        <f>+D213+D219+D223+D224</f>
        <v>916737</v>
      </c>
      <c r="E225" s="88">
        <f>+E213+E219+E223+E224</f>
        <v>916737</v>
      </c>
      <c r="F225" s="119">
        <f>+E225/D225</f>
        <v>1</v>
      </c>
      <c r="G225" s="117"/>
      <c r="H225" s="118" t="s">
        <v>149</v>
      </c>
      <c r="I225" s="88">
        <f>I213+I219+I223+I224</f>
        <v>916737</v>
      </c>
      <c r="J225" s="88">
        <f>J213+J219+J223+J224</f>
        <v>916737</v>
      </c>
      <c r="K225" s="88">
        <f>K213+K219+K223+K224</f>
        <v>276929</v>
      </c>
      <c r="L225" s="119">
        <f>+K225/J225</f>
        <v>0.3020811857708372</v>
      </c>
    </row>
    <row r="226" spans="1:12" s="126" customFormat="1" ht="15">
      <c r="A226" s="124"/>
      <c r="B226" s="124"/>
      <c r="C226" s="93"/>
      <c r="D226" s="93"/>
      <c r="E226" s="93"/>
      <c r="F226" s="93"/>
      <c r="G226" s="124"/>
      <c r="H226" s="124"/>
      <c r="I226" s="93"/>
      <c r="J226" s="93"/>
      <c r="K226" s="93"/>
      <c r="L226" s="93"/>
    </row>
    <row r="227" spans="1:12" s="90" customFormat="1" ht="12.75" customHeight="1" thickBot="1">
      <c r="A227" s="90" t="s">
        <v>790</v>
      </c>
      <c r="B227" s="124"/>
      <c r="C227" s="93"/>
      <c r="D227" s="93"/>
      <c r="E227" s="93"/>
      <c r="F227" s="93"/>
      <c r="G227" s="124"/>
      <c r="H227" s="124"/>
      <c r="I227" s="595"/>
      <c r="J227" s="595"/>
      <c r="K227" s="93"/>
      <c r="L227" s="596" t="s">
        <v>216</v>
      </c>
    </row>
    <row r="228" spans="1:12" s="90" customFormat="1" ht="24.75" customHeight="1">
      <c r="A228" s="96"/>
      <c r="B228" s="97" t="s">
        <v>104</v>
      </c>
      <c r="C228" s="86" t="s">
        <v>227</v>
      </c>
      <c r="D228" s="86" t="s">
        <v>844</v>
      </c>
      <c r="E228" s="86" t="s">
        <v>303</v>
      </c>
      <c r="F228" s="87" t="s">
        <v>304</v>
      </c>
      <c r="G228" s="96">
        <v>32</v>
      </c>
      <c r="H228" s="97" t="s">
        <v>105</v>
      </c>
      <c r="I228" s="86" t="s">
        <v>227</v>
      </c>
      <c r="J228" s="86" t="s">
        <v>844</v>
      </c>
      <c r="K228" s="86" t="s">
        <v>303</v>
      </c>
      <c r="L228" s="87" t="s">
        <v>304</v>
      </c>
    </row>
    <row r="229" spans="1:12" s="90" customFormat="1" ht="12.75" customHeight="1">
      <c r="A229" s="99" t="s">
        <v>23</v>
      </c>
      <c r="B229" s="100" t="s">
        <v>108</v>
      </c>
      <c r="C229" s="101"/>
      <c r="D229" s="101"/>
      <c r="E229" s="101"/>
      <c r="F229" s="102"/>
      <c r="G229" s="99" t="s">
        <v>23</v>
      </c>
      <c r="H229" s="100" t="s">
        <v>129</v>
      </c>
      <c r="I229" s="101">
        <f>SUM(I230:I234)</f>
        <v>3339791</v>
      </c>
      <c r="J229" s="101">
        <f>SUM(J230:J234)</f>
        <v>3339791</v>
      </c>
      <c r="K229" s="101">
        <f>SUM(K230:K234)</f>
        <v>0</v>
      </c>
      <c r="L229" s="102">
        <f>+K229/J229</f>
        <v>0</v>
      </c>
    </row>
    <row r="230" spans="1:12" s="90" customFormat="1" ht="12.75" customHeight="1">
      <c r="A230" s="99" t="s">
        <v>111</v>
      </c>
      <c r="B230" s="116" t="s">
        <v>209</v>
      </c>
      <c r="C230" s="106"/>
      <c r="D230" s="106"/>
      <c r="E230" s="106"/>
      <c r="F230" s="599"/>
      <c r="G230" s="99" t="s">
        <v>111</v>
      </c>
      <c r="H230" s="116" t="s">
        <v>80</v>
      </c>
      <c r="I230" s="106">
        <v>676322</v>
      </c>
      <c r="J230" s="106">
        <v>676322</v>
      </c>
      <c r="K230" s="106">
        <v>0</v>
      </c>
      <c r="L230" s="599">
        <f>+K230/J230</f>
        <v>0</v>
      </c>
    </row>
    <row r="231" spans="1:12" s="90" customFormat="1" ht="12.75" customHeight="1">
      <c r="A231" s="99"/>
      <c r="B231" s="116" t="s">
        <v>210</v>
      </c>
      <c r="C231" s="106"/>
      <c r="D231" s="106"/>
      <c r="E231" s="106"/>
      <c r="F231" s="599"/>
      <c r="G231" s="99" t="s">
        <v>112</v>
      </c>
      <c r="H231" s="116" t="s">
        <v>147</v>
      </c>
      <c r="I231" s="106">
        <v>294660</v>
      </c>
      <c r="J231" s="106">
        <v>294660</v>
      </c>
      <c r="K231" s="106">
        <v>0</v>
      </c>
      <c r="L231" s="599">
        <f>+K231/J231</f>
        <v>0</v>
      </c>
    </row>
    <row r="232" spans="1:12" s="90" customFormat="1" ht="12.75" customHeight="1">
      <c r="A232" s="99" t="s">
        <v>112</v>
      </c>
      <c r="B232" s="116" t="s">
        <v>9</v>
      </c>
      <c r="C232" s="106"/>
      <c r="D232" s="106"/>
      <c r="E232" s="106"/>
      <c r="F232" s="599"/>
      <c r="G232" s="99" t="s">
        <v>113</v>
      </c>
      <c r="H232" s="116" t="s">
        <v>83</v>
      </c>
      <c r="I232" s="106">
        <f>1865000+503809</f>
        <v>2368809</v>
      </c>
      <c r="J232" s="106">
        <f>1865000+503809</f>
        <v>2368809</v>
      </c>
      <c r="K232" s="106">
        <v>0</v>
      </c>
      <c r="L232" s="599">
        <f>+K232/J232+IF(L232=0/0,0%)</f>
        <v>0</v>
      </c>
    </row>
    <row r="233" spans="1:12" s="90" customFormat="1" ht="12.75" customHeight="1">
      <c r="A233" s="99" t="s">
        <v>113</v>
      </c>
      <c r="B233" s="116" t="s">
        <v>170</v>
      </c>
      <c r="C233" s="106"/>
      <c r="D233" s="106"/>
      <c r="E233" s="106"/>
      <c r="F233" s="599"/>
      <c r="G233" s="99" t="s">
        <v>114</v>
      </c>
      <c r="H233" s="116" t="s">
        <v>84</v>
      </c>
      <c r="I233" s="106"/>
      <c r="J233" s="106"/>
      <c r="K233" s="106"/>
      <c r="L233" s="599"/>
    </row>
    <row r="234" spans="1:12" s="90" customFormat="1" ht="12.75" customHeight="1">
      <c r="A234" s="99" t="s">
        <v>114</v>
      </c>
      <c r="B234" s="116" t="s">
        <v>181</v>
      </c>
      <c r="C234" s="106"/>
      <c r="D234" s="106"/>
      <c r="E234" s="106"/>
      <c r="F234" s="599"/>
      <c r="G234" s="99" t="s">
        <v>115</v>
      </c>
      <c r="H234" s="116" t="s">
        <v>211</v>
      </c>
      <c r="I234" s="106"/>
      <c r="J234" s="106"/>
      <c r="K234" s="106"/>
      <c r="L234" s="599"/>
    </row>
    <row r="235" spans="1:12" s="90" customFormat="1" ht="12.75" customHeight="1">
      <c r="A235" s="112" t="s">
        <v>45</v>
      </c>
      <c r="B235" s="100" t="s">
        <v>118</v>
      </c>
      <c r="C235" s="101"/>
      <c r="D235" s="101"/>
      <c r="E235" s="101"/>
      <c r="F235" s="102"/>
      <c r="G235" s="112" t="s">
        <v>45</v>
      </c>
      <c r="H235" s="100" t="s">
        <v>130</v>
      </c>
      <c r="I235" s="101"/>
      <c r="J235" s="101"/>
      <c r="K235" s="101"/>
      <c r="L235" s="102"/>
    </row>
    <row r="236" spans="1:12" s="90" customFormat="1" ht="12.75" customHeight="1">
      <c r="A236" s="112" t="s">
        <v>111</v>
      </c>
      <c r="B236" s="100" t="s">
        <v>106</v>
      </c>
      <c r="C236" s="106"/>
      <c r="D236" s="106"/>
      <c r="E236" s="106"/>
      <c r="F236" s="599"/>
      <c r="G236" s="112" t="s">
        <v>111</v>
      </c>
      <c r="H236" s="100" t="s">
        <v>131</v>
      </c>
      <c r="I236" s="106"/>
      <c r="J236" s="106"/>
      <c r="K236" s="106"/>
      <c r="L236" s="599"/>
    </row>
    <row r="237" spans="1:12" s="90" customFormat="1" ht="12.75" customHeight="1">
      <c r="A237" s="112" t="s">
        <v>112</v>
      </c>
      <c r="B237" s="100" t="s">
        <v>39</v>
      </c>
      <c r="C237" s="106"/>
      <c r="D237" s="106"/>
      <c r="E237" s="106"/>
      <c r="F237" s="599"/>
      <c r="G237" s="112" t="s">
        <v>112</v>
      </c>
      <c r="H237" s="100" t="s">
        <v>87</v>
      </c>
      <c r="I237" s="106"/>
      <c r="J237" s="106"/>
      <c r="K237" s="106"/>
      <c r="L237" s="599"/>
    </row>
    <row r="238" spans="1:12" s="90" customFormat="1" ht="12.75" customHeight="1">
      <c r="A238" s="112" t="s">
        <v>113</v>
      </c>
      <c r="B238" s="100" t="s">
        <v>201</v>
      </c>
      <c r="C238" s="106"/>
      <c r="D238" s="106"/>
      <c r="E238" s="106"/>
      <c r="F238" s="599"/>
      <c r="G238" s="112" t="s">
        <v>113</v>
      </c>
      <c r="H238" s="100" t="s">
        <v>90</v>
      </c>
      <c r="I238" s="106"/>
      <c r="J238" s="106"/>
      <c r="K238" s="106"/>
      <c r="L238" s="599"/>
    </row>
    <row r="239" spans="1:12" s="90" customFormat="1" ht="12.75" customHeight="1">
      <c r="A239" s="112" t="s">
        <v>56</v>
      </c>
      <c r="B239" s="100" t="s">
        <v>126</v>
      </c>
      <c r="C239" s="101">
        <v>3339791</v>
      </c>
      <c r="D239" s="101">
        <v>3339791</v>
      </c>
      <c r="E239" s="101">
        <v>3339791</v>
      </c>
      <c r="F239" s="102">
        <f>+E239/D239</f>
        <v>1</v>
      </c>
      <c r="G239" s="112" t="s">
        <v>56</v>
      </c>
      <c r="H239" s="100" t="s">
        <v>132</v>
      </c>
      <c r="I239" s="101"/>
      <c r="J239" s="101"/>
      <c r="K239" s="101"/>
      <c r="L239" s="102"/>
    </row>
    <row r="240" spans="1:12" s="90" customFormat="1" ht="12.75" customHeight="1">
      <c r="A240" s="99" t="s">
        <v>64</v>
      </c>
      <c r="B240" s="116" t="s">
        <v>127</v>
      </c>
      <c r="C240" s="101"/>
      <c r="D240" s="101"/>
      <c r="E240" s="101"/>
      <c r="F240" s="102"/>
      <c r="G240" s="99" t="s">
        <v>64</v>
      </c>
      <c r="H240" s="116" t="s">
        <v>133</v>
      </c>
      <c r="I240" s="101"/>
      <c r="J240" s="101"/>
      <c r="K240" s="101"/>
      <c r="L240" s="102"/>
    </row>
    <row r="241" spans="1:12" s="124" customFormat="1" ht="12.75" customHeight="1" thickBot="1">
      <c r="A241" s="117"/>
      <c r="B241" s="118" t="s">
        <v>148</v>
      </c>
      <c r="C241" s="88">
        <f>+C229+C235+C239+C240</f>
        <v>3339791</v>
      </c>
      <c r="D241" s="88">
        <f>+D229+D235+D239+D240</f>
        <v>3339791</v>
      </c>
      <c r="E241" s="88">
        <f>+E229+E235+E239+E240</f>
        <v>3339791</v>
      </c>
      <c r="F241" s="119">
        <f>+E241/D241</f>
        <v>1</v>
      </c>
      <c r="G241" s="117"/>
      <c r="H241" s="118" t="s">
        <v>149</v>
      </c>
      <c r="I241" s="88">
        <f>I229+I235+I239+I240</f>
        <v>3339791</v>
      </c>
      <c r="J241" s="88">
        <f>J229+J235+J239+J240</f>
        <v>3339791</v>
      </c>
      <c r="K241" s="88">
        <f>K229+K235+K239+K240</f>
        <v>0</v>
      </c>
      <c r="L241" s="119">
        <f>+K241/J241</f>
        <v>0</v>
      </c>
    </row>
    <row r="242" spans="1:12" s="126" customFormat="1" ht="12.75" customHeight="1">
      <c r="A242" s="124"/>
      <c r="B242" s="124"/>
      <c r="C242" s="93"/>
      <c r="D242" s="93"/>
      <c r="E242" s="595"/>
      <c r="F242" s="595"/>
      <c r="G242" s="124"/>
      <c r="H242" s="124"/>
      <c r="I242" s="93"/>
      <c r="J242" s="93"/>
      <c r="K242" s="595"/>
      <c r="L242" s="595"/>
    </row>
    <row r="243" spans="1:12" s="90" customFormat="1" ht="12.75" customHeight="1" thickBot="1">
      <c r="A243" s="90" t="s">
        <v>791</v>
      </c>
      <c r="B243" s="124"/>
      <c r="C243" s="93"/>
      <c r="D243" s="93"/>
      <c r="E243" s="93"/>
      <c r="F243" s="93"/>
      <c r="G243" s="124"/>
      <c r="H243" s="124"/>
      <c r="I243" s="595"/>
      <c r="J243" s="595"/>
      <c r="K243" s="93"/>
      <c r="L243" s="596" t="s">
        <v>216</v>
      </c>
    </row>
    <row r="244" spans="1:12" s="90" customFormat="1" ht="24.75" customHeight="1">
      <c r="A244" s="96"/>
      <c r="B244" s="97" t="s">
        <v>104</v>
      </c>
      <c r="C244" s="86" t="s">
        <v>227</v>
      </c>
      <c r="D244" s="86" t="s">
        <v>844</v>
      </c>
      <c r="E244" s="86" t="s">
        <v>303</v>
      </c>
      <c r="F244" s="87" t="s">
        <v>304</v>
      </c>
      <c r="G244" s="96">
        <v>33</v>
      </c>
      <c r="H244" s="97" t="s">
        <v>105</v>
      </c>
      <c r="I244" s="86" t="s">
        <v>227</v>
      </c>
      <c r="J244" s="86" t="s">
        <v>844</v>
      </c>
      <c r="K244" s="86" t="s">
        <v>303</v>
      </c>
      <c r="L244" s="87" t="s">
        <v>304</v>
      </c>
    </row>
    <row r="245" spans="1:12" s="90" customFormat="1" ht="12.75" customHeight="1">
      <c r="A245" s="99" t="s">
        <v>23</v>
      </c>
      <c r="B245" s="100" t="s">
        <v>108</v>
      </c>
      <c r="C245" s="101"/>
      <c r="D245" s="101"/>
      <c r="E245" s="101"/>
      <c r="F245" s="102"/>
      <c r="G245" s="99" t="s">
        <v>23</v>
      </c>
      <c r="H245" s="100" t="s">
        <v>129</v>
      </c>
      <c r="I245" s="101">
        <f>SUM(I246:I250)</f>
        <v>1715512</v>
      </c>
      <c r="J245" s="101">
        <f>SUM(J246:J250)</f>
        <v>1715512</v>
      </c>
      <c r="K245" s="101">
        <f>SUM(K246:K250)</f>
        <v>0</v>
      </c>
      <c r="L245" s="102">
        <f>+K245/J245+IF(L245=0/0,0%)</f>
        <v>0</v>
      </c>
    </row>
    <row r="246" spans="1:12" s="90" customFormat="1" ht="12.75" customHeight="1">
      <c r="A246" s="99" t="s">
        <v>111</v>
      </c>
      <c r="B246" s="116" t="s">
        <v>209</v>
      </c>
      <c r="C246" s="106"/>
      <c r="D246" s="106"/>
      <c r="E246" s="106"/>
      <c r="F246" s="599"/>
      <c r="G246" s="99" t="s">
        <v>111</v>
      </c>
      <c r="H246" s="116" t="s">
        <v>80</v>
      </c>
      <c r="I246" s="106">
        <f>1738187-995215-41602</f>
        <v>701370</v>
      </c>
      <c r="J246" s="106">
        <f>1738187-995215-41602</f>
        <v>701370</v>
      </c>
      <c r="K246" s="106">
        <v>0</v>
      </c>
      <c r="L246" s="599">
        <f>+K246/J246+IF(L246=0/0,0%)</f>
        <v>0</v>
      </c>
    </row>
    <row r="247" spans="1:12" s="90" customFormat="1" ht="12.75" customHeight="1">
      <c r="A247" s="99"/>
      <c r="B247" s="116" t="s">
        <v>210</v>
      </c>
      <c r="C247" s="106"/>
      <c r="D247" s="106"/>
      <c r="E247" s="106"/>
      <c r="F247" s="599"/>
      <c r="G247" s="99" t="s">
        <v>112</v>
      </c>
      <c r="H247" s="116" t="s">
        <v>147</v>
      </c>
      <c r="I247" s="106">
        <f>421051-218947-7364-6872</f>
        <v>187868</v>
      </c>
      <c r="J247" s="106">
        <f>421051-218947-7364-6872</f>
        <v>187868</v>
      </c>
      <c r="K247" s="106">
        <v>0</v>
      </c>
      <c r="L247" s="599">
        <f>+K247/J247+IF(L247=0/0,0%)</f>
        <v>0</v>
      </c>
    </row>
    <row r="248" spans="1:12" s="90" customFormat="1" ht="12.75" customHeight="1">
      <c r="A248" s="99" t="s">
        <v>112</v>
      </c>
      <c r="B248" s="116" t="s">
        <v>9</v>
      </c>
      <c r="C248" s="106"/>
      <c r="D248" s="106"/>
      <c r="E248" s="106"/>
      <c r="F248" s="599"/>
      <c r="G248" s="99" t="s">
        <v>113</v>
      </c>
      <c r="H248" s="116" t="s">
        <v>83</v>
      </c>
      <c r="I248" s="106">
        <f>711391+119709-4826</f>
        <v>826274</v>
      </c>
      <c r="J248" s="106">
        <f>711391+119709-4826</f>
        <v>826274</v>
      </c>
      <c r="K248" s="106">
        <v>0</v>
      </c>
      <c r="L248" s="599">
        <f>+K248/J248+IF(L248=0/0,0%)</f>
        <v>0</v>
      </c>
    </row>
    <row r="249" spans="1:12" s="90" customFormat="1" ht="12.75" customHeight="1">
      <c r="A249" s="99" t="s">
        <v>113</v>
      </c>
      <c r="B249" s="116" t="s">
        <v>170</v>
      </c>
      <c r="C249" s="106"/>
      <c r="D249" s="106"/>
      <c r="E249" s="106"/>
      <c r="F249" s="599"/>
      <c r="G249" s="99" t="s">
        <v>114</v>
      </c>
      <c r="H249" s="116" t="s">
        <v>84</v>
      </c>
      <c r="I249" s="106"/>
      <c r="J249" s="106"/>
      <c r="K249" s="106"/>
      <c r="L249" s="599"/>
    </row>
    <row r="250" spans="1:12" s="90" customFormat="1" ht="12.75" customHeight="1">
      <c r="A250" s="99" t="s">
        <v>114</v>
      </c>
      <c r="B250" s="116" t="s">
        <v>181</v>
      </c>
      <c r="C250" s="106"/>
      <c r="D250" s="106"/>
      <c r="E250" s="106"/>
      <c r="F250" s="599"/>
      <c r="G250" s="99" t="s">
        <v>115</v>
      </c>
      <c r="H250" s="116" t="s">
        <v>211</v>
      </c>
      <c r="I250" s="106"/>
      <c r="J250" s="106"/>
      <c r="K250" s="106"/>
      <c r="L250" s="599"/>
    </row>
    <row r="251" spans="1:12" s="90" customFormat="1" ht="12.75" customHeight="1">
      <c r="A251" s="112" t="s">
        <v>45</v>
      </c>
      <c r="B251" s="100" t="s">
        <v>118</v>
      </c>
      <c r="C251" s="101"/>
      <c r="D251" s="101"/>
      <c r="E251" s="101"/>
      <c r="F251" s="102"/>
      <c r="G251" s="112" t="s">
        <v>45</v>
      </c>
      <c r="H251" s="100" t="s">
        <v>130</v>
      </c>
      <c r="I251" s="101"/>
      <c r="J251" s="101"/>
      <c r="K251" s="101"/>
      <c r="L251" s="102"/>
    </row>
    <row r="252" spans="1:12" s="90" customFormat="1" ht="12.75" customHeight="1">
      <c r="A252" s="112" t="s">
        <v>111</v>
      </c>
      <c r="B252" s="100" t="s">
        <v>106</v>
      </c>
      <c r="C252" s="106"/>
      <c r="D252" s="106"/>
      <c r="E252" s="106"/>
      <c r="F252" s="599"/>
      <c r="G252" s="112" t="s">
        <v>111</v>
      </c>
      <c r="H252" s="100" t="s">
        <v>131</v>
      </c>
      <c r="I252" s="106"/>
      <c r="J252" s="106"/>
      <c r="K252" s="106"/>
      <c r="L252" s="599"/>
    </row>
    <row r="253" spans="1:12" s="90" customFormat="1" ht="12.75" customHeight="1">
      <c r="A253" s="112" t="s">
        <v>112</v>
      </c>
      <c r="B253" s="100" t="s">
        <v>39</v>
      </c>
      <c r="C253" s="106"/>
      <c r="D253" s="106"/>
      <c r="E253" s="106"/>
      <c r="F253" s="599"/>
      <c r="G253" s="112" t="s">
        <v>112</v>
      </c>
      <c r="H253" s="100" t="s">
        <v>87</v>
      </c>
      <c r="I253" s="106"/>
      <c r="J253" s="106"/>
      <c r="K253" s="106"/>
      <c r="L253" s="599"/>
    </row>
    <row r="254" spans="1:12" s="90" customFormat="1" ht="12.75" customHeight="1">
      <c r="A254" s="112" t="s">
        <v>113</v>
      </c>
      <c r="B254" s="100" t="s">
        <v>201</v>
      </c>
      <c r="C254" s="106"/>
      <c r="D254" s="106"/>
      <c r="E254" s="106"/>
      <c r="F254" s="599"/>
      <c r="G254" s="112" t="s">
        <v>113</v>
      </c>
      <c r="H254" s="100" t="s">
        <v>90</v>
      </c>
      <c r="I254" s="106"/>
      <c r="J254" s="106"/>
      <c r="K254" s="106"/>
      <c r="L254" s="599"/>
    </row>
    <row r="255" spans="1:12" s="90" customFormat="1" ht="12.75" customHeight="1">
      <c r="A255" s="112" t="s">
        <v>56</v>
      </c>
      <c r="B255" s="100" t="s">
        <v>126</v>
      </c>
      <c r="C255" s="101">
        <v>1715512</v>
      </c>
      <c r="D255" s="101">
        <v>1715512</v>
      </c>
      <c r="E255" s="101">
        <v>1715512</v>
      </c>
      <c r="F255" s="102">
        <f>+E255/D255</f>
        <v>1</v>
      </c>
      <c r="G255" s="112" t="s">
        <v>56</v>
      </c>
      <c r="H255" s="100" t="s">
        <v>132</v>
      </c>
      <c r="I255" s="101"/>
      <c r="J255" s="101"/>
      <c r="K255" s="101"/>
      <c r="L255" s="102"/>
    </row>
    <row r="256" spans="1:12" s="90" customFormat="1" ht="12.75" customHeight="1">
      <c r="A256" s="99" t="s">
        <v>64</v>
      </c>
      <c r="B256" s="116" t="s">
        <v>127</v>
      </c>
      <c r="C256" s="101"/>
      <c r="D256" s="101"/>
      <c r="E256" s="101"/>
      <c r="F256" s="102"/>
      <c r="G256" s="99" t="s">
        <v>64</v>
      </c>
      <c r="H256" s="116" t="s">
        <v>133</v>
      </c>
      <c r="I256" s="101"/>
      <c r="J256" s="101"/>
      <c r="K256" s="101"/>
      <c r="L256" s="102"/>
    </row>
    <row r="257" spans="1:12" s="124" customFormat="1" ht="12.75" customHeight="1" thickBot="1">
      <c r="A257" s="117"/>
      <c r="B257" s="118" t="s">
        <v>148</v>
      </c>
      <c r="C257" s="88">
        <f>+C245+C251+C255+C256</f>
        <v>1715512</v>
      </c>
      <c r="D257" s="88">
        <f>+D245+D251+D255+D256</f>
        <v>1715512</v>
      </c>
      <c r="E257" s="88">
        <f>+E245+E251+E255+E256</f>
        <v>1715512</v>
      </c>
      <c r="F257" s="119">
        <f>+E257/D257</f>
        <v>1</v>
      </c>
      <c r="G257" s="117"/>
      <c r="H257" s="118" t="s">
        <v>149</v>
      </c>
      <c r="I257" s="88">
        <f>I245+I251+I255+I256</f>
        <v>1715512</v>
      </c>
      <c r="J257" s="88">
        <f>J245+J251+J255+J256</f>
        <v>1715512</v>
      </c>
      <c r="K257" s="88">
        <f>K245+K251+K255+K256</f>
        <v>0</v>
      </c>
      <c r="L257" s="119">
        <f>+K257/J257+IF(L257=0/0,0%)</f>
        <v>0</v>
      </c>
    </row>
    <row r="258" spans="1:12" s="126" customFormat="1" ht="12.75" customHeight="1">
      <c r="A258" s="124"/>
      <c r="B258" s="124"/>
      <c r="C258" s="93"/>
      <c r="D258" s="93"/>
      <c r="E258" s="93"/>
      <c r="F258" s="93"/>
      <c r="G258" s="124"/>
      <c r="H258" s="124"/>
      <c r="I258" s="93"/>
      <c r="J258" s="93"/>
      <c r="K258" s="93"/>
      <c r="L258" s="93"/>
    </row>
    <row r="259" spans="1:12" s="90" customFormat="1" ht="12.75" customHeight="1" thickBot="1">
      <c r="A259" s="90" t="s">
        <v>792</v>
      </c>
      <c r="B259" s="124"/>
      <c r="C259" s="93"/>
      <c r="D259" s="93"/>
      <c r="E259" s="93"/>
      <c r="F259" s="93"/>
      <c r="G259" s="124"/>
      <c r="H259" s="124"/>
      <c r="I259" s="595"/>
      <c r="J259" s="595"/>
      <c r="K259" s="93"/>
      <c r="L259" s="596" t="s">
        <v>216</v>
      </c>
    </row>
    <row r="260" spans="1:12" s="90" customFormat="1" ht="24.75" customHeight="1">
      <c r="A260" s="96"/>
      <c r="B260" s="97" t="s">
        <v>104</v>
      </c>
      <c r="C260" s="86" t="s">
        <v>227</v>
      </c>
      <c r="D260" s="86" t="s">
        <v>844</v>
      </c>
      <c r="E260" s="86" t="s">
        <v>303</v>
      </c>
      <c r="F260" s="87" t="s">
        <v>304</v>
      </c>
      <c r="G260" s="96">
        <v>34</v>
      </c>
      <c r="H260" s="97" t="s">
        <v>105</v>
      </c>
      <c r="I260" s="86" t="s">
        <v>227</v>
      </c>
      <c r="J260" s="86" t="s">
        <v>844</v>
      </c>
      <c r="K260" s="86" t="s">
        <v>303</v>
      </c>
      <c r="L260" s="87" t="s">
        <v>304</v>
      </c>
    </row>
    <row r="261" spans="1:12" s="90" customFormat="1" ht="12.75" customHeight="1">
      <c r="A261" s="99" t="s">
        <v>23</v>
      </c>
      <c r="B261" s="100" t="s">
        <v>108</v>
      </c>
      <c r="C261" s="101"/>
      <c r="D261" s="101"/>
      <c r="E261" s="101"/>
      <c r="F261" s="102"/>
      <c r="G261" s="99" t="s">
        <v>23</v>
      </c>
      <c r="H261" s="100" t="s">
        <v>129</v>
      </c>
      <c r="I261" s="101">
        <f>SUM(I262:I266)</f>
        <v>3050246</v>
      </c>
      <c r="J261" s="101">
        <f>SUM(J262:J266)</f>
        <v>3050246</v>
      </c>
      <c r="K261" s="101">
        <f>SUM(K262:K266)</f>
        <v>2159000</v>
      </c>
      <c r="L261" s="102">
        <f>+K261/J261</f>
        <v>0.7078117633790848</v>
      </c>
    </row>
    <row r="262" spans="1:12" s="90" customFormat="1" ht="12.75" customHeight="1">
      <c r="A262" s="99" t="s">
        <v>111</v>
      </c>
      <c r="B262" s="116" t="s">
        <v>209</v>
      </c>
      <c r="C262" s="106"/>
      <c r="D262" s="106"/>
      <c r="E262" s="106"/>
      <c r="F262" s="599"/>
      <c r="G262" s="99" t="s">
        <v>111</v>
      </c>
      <c r="H262" s="116" t="s">
        <v>80</v>
      </c>
      <c r="I262" s="106">
        <v>644057</v>
      </c>
      <c r="J262" s="106">
        <v>644057</v>
      </c>
      <c r="K262" s="106">
        <v>0</v>
      </c>
      <c r="L262" s="599">
        <f>+K262/J262</f>
        <v>0</v>
      </c>
    </row>
    <row r="263" spans="1:12" s="90" customFormat="1" ht="12.75" customHeight="1">
      <c r="A263" s="99"/>
      <c r="B263" s="116" t="s">
        <v>210</v>
      </c>
      <c r="C263" s="106"/>
      <c r="D263" s="106"/>
      <c r="E263" s="106"/>
      <c r="F263" s="599"/>
      <c r="G263" s="99" t="s">
        <v>112</v>
      </c>
      <c r="H263" s="116" t="s">
        <v>147</v>
      </c>
      <c r="I263" s="106">
        <v>112710</v>
      </c>
      <c r="J263" s="106">
        <v>112710</v>
      </c>
      <c r="K263" s="106">
        <v>0</v>
      </c>
      <c r="L263" s="599">
        <f>+K263/J263</f>
        <v>0</v>
      </c>
    </row>
    <row r="264" spans="1:12" s="90" customFormat="1" ht="12.75" customHeight="1">
      <c r="A264" s="99" t="s">
        <v>112</v>
      </c>
      <c r="B264" s="116" t="s">
        <v>9</v>
      </c>
      <c r="C264" s="106"/>
      <c r="D264" s="106"/>
      <c r="E264" s="106"/>
      <c r="F264" s="599"/>
      <c r="G264" s="99" t="s">
        <v>113</v>
      </c>
      <c r="H264" s="116" t="s">
        <v>83</v>
      </c>
      <c r="I264" s="106">
        <v>2293479</v>
      </c>
      <c r="J264" s="106">
        <v>2293479</v>
      </c>
      <c r="K264" s="106">
        <v>2159000</v>
      </c>
      <c r="L264" s="599">
        <f>+K264/J264</f>
        <v>0.9413646255317795</v>
      </c>
    </row>
    <row r="265" spans="1:12" s="90" customFormat="1" ht="12.75" customHeight="1">
      <c r="A265" s="99" t="s">
        <v>113</v>
      </c>
      <c r="B265" s="116" t="s">
        <v>170</v>
      </c>
      <c r="C265" s="106"/>
      <c r="D265" s="106"/>
      <c r="E265" s="106"/>
      <c r="F265" s="599"/>
      <c r="G265" s="99" t="s">
        <v>114</v>
      </c>
      <c r="H265" s="116" t="s">
        <v>84</v>
      </c>
      <c r="I265" s="106"/>
      <c r="J265" s="106"/>
      <c r="K265" s="106"/>
      <c r="L265" s="599"/>
    </row>
    <row r="266" spans="1:12" s="90" customFormat="1" ht="12.75" customHeight="1">
      <c r="A266" s="99" t="s">
        <v>114</v>
      </c>
      <c r="B266" s="116" t="s">
        <v>181</v>
      </c>
      <c r="C266" s="106"/>
      <c r="D266" s="106"/>
      <c r="E266" s="106"/>
      <c r="F266" s="599"/>
      <c r="G266" s="99" t="s">
        <v>115</v>
      </c>
      <c r="H266" s="116" t="s">
        <v>211</v>
      </c>
      <c r="I266" s="106"/>
      <c r="J266" s="106"/>
      <c r="K266" s="106"/>
      <c r="L266" s="599"/>
    </row>
    <row r="267" spans="1:12" s="90" customFormat="1" ht="12.75" customHeight="1">
      <c r="A267" s="112" t="s">
        <v>45</v>
      </c>
      <c r="B267" s="100" t="s">
        <v>118</v>
      </c>
      <c r="C267" s="101"/>
      <c r="D267" s="101"/>
      <c r="E267" s="101"/>
      <c r="F267" s="102"/>
      <c r="G267" s="112" t="s">
        <v>45</v>
      </c>
      <c r="H267" s="100" t="s">
        <v>130</v>
      </c>
      <c r="I267" s="101"/>
      <c r="J267" s="101"/>
      <c r="K267" s="101"/>
      <c r="L267" s="102"/>
    </row>
    <row r="268" spans="1:12" s="90" customFormat="1" ht="12.75" customHeight="1">
      <c r="A268" s="112" t="s">
        <v>111</v>
      </c>
      <c r="B268" s="100" t="s">
        <v>106</v>
      </c>
      <c r="C268" s="106"/>
      <c r="D268" s="106"/>
      <c r="E268" s="106"/>
      <c r="F268" s="599"/>
      <c r="G268" s="112" t="s">
        <v>111</v>
      </c>
      <c r="H268" s="100" t="s">
        <v>131</v>
      </c>
      <c r="I268" s="106"/>
      <c r="J268" s="106"/>
      <c r="K268" s="106"/>
      <c r="L268" s="599"/>
    </row>
    <row r="269" spans="1:12" s="90" customFormat="1" ht="12.75" customHeight="1">
      <c r="A269" s="112" t="s">
        <v>112</v>
      </c>
      <c r="B269" s="100" t="s">
        <v>39</v>
      </c>
      <c r="C269" s="106"/>
      <c r="D269" s="106"/>
      <c r="E269" s="106"/>
      <c r="F269" s="599"/>
      <c r="G269" s="112" t="s">
        <v>112</v>
      </c>
      <c r="H269" s="100" t="s">
        <v>87</v>
      </c>
      <c r="I269" s="106"/>
      <c r="J269" s="106"/>
      <c r="K269" s="106"/>
      <c r="L269" s="599"/>
    </row>
    <row r="270" spans="1:12" s="90" customFormat="1" ht="12.75" customHeight="1">
      <c r="A270" s="112" t="s">
        <v>113</v>
      </c>
      <c r="B270" s="100" t="s">
        <v>201</v>
      </c>
      <c r="C270" s="106"/>
      <c r="D270" s="106"/>
      <c r="E270" s="106"/>
      <c r="F270" s="599"/>
      <c r="G270" s="112" t="s">
        <v>113</v>
      </c>
      <c r="H270" s="100" t="s">
        <v>90</v>
      </c>
      <c r="I270" s="106"/>
      <c r="J270" s="106"/>
      <c r="K270" s="106"/>
      <c r="L270" s="599"/>
    </row>
    <row r="271" spans="1:12" s="90" customFormat="1" ht="12.75" customHeight="1">
      <c r="A271" s="112" t="s">
        <v>56</v>
      </c>
      <c r="B271" s="100" t="s">
        <v>126</v>
      </c>
      <c r="C271" s="101">
        <v>3050246</v>
      </c>
      <c r="D271" s="101">
        <v>3050246</v>
      </c>
      <c r="E271" s="101">
        <v>3050246</v>
      </c>
      <c r="F271" s="102">
        <f>+E271/D271</f>
        <v>1</v>
      </c>
      <c r="G271" s="112" t="s">
        <v>56</v>
      </c>
      <c r="H271" s="100" t="s">
        <v>132</v>
      </c>
      <c r="I271" s="101"/>
      <c r="J271" s="101"/>
      <c r="K271" s="101"/>
      <c r="L271" s="102"/>
    </row>
    <row r="272" spans="1:12" s="90" customFormat="1" ht="12.75" customHeight="1">
      <c r="A272" s="99" t="s">
        <v>64</v>
      </c>
      <c r="B272" s="116" t="s">
        <v>127</v>
      </c>
      <c r="C272" s="101"/>
      <c r="D272" s="101"/>
      <c r="E272" s="101"/>
      <c r="F272" s="102"/>
      <c r="G272" s="99" t="s">
        <v>64</v>
      </c>
      <c r="H272" s="116" t="s">
        <v>133</v>
      </c>
      <c r="I272" s="101"/>
      <c r="J272" s="101"/>
      <c r="K272" s="101"/>
      <c r="L272" s="102"/>
    </row>
    <row r="273" spans="1:12" s="124" customFormat="1" ht="12.75" customHeight="1" thickBot="1">
      <c r="A273" s="117"/>
      <c r="B273" s="118" t="s">
        <v>148</v>
      </c>
      <c r="C273" s="88">
        <f>+C261+C267+C271+C272</f>
        <v>3050246</v>
      </c>
      <c r="D273" s="88">
        <f>+D261+D267+D271+D272</f>
        <v>3050246</v>
      </c>
      <c r="E273" s="88">
        <f>+E261+E267+E271+E272</f>
        <v>3050246</v>
      </c>
      <c r="F273" s="119">
        <f>+E273/D273</f>
        <v>1</v>
      </c>
      <c r="G273" s="117"/>
      <c r="H273" s="118" t="s">
        <v>149</v>
      </c>
      <c r="I273" s="88">
        <f>I261+I267+I271+I272</f>
        <v>3050246</v>
      </c>
      <c r="J273" s="88">
        <f>J261+J267+J271+J272</f>
        <v>3050246</v>
      </c>
      <c r="K273" s="88">
        <f>K261+K267+K271+K272</f>
        <v>2159000</v>
      </c>
      <c r="L273" s="119">
        <f>+K273/J273</f>
        <v>0.7078117633790848</v>
      </c>
    </row>
    <row r="274" spans="1:12" s="126" customFormat="1" ht="15">
      <c r="A274" s="124"/>
      <c r="B274" s="124"/>
      <c r="C274" s="93"/>
      <c r="D274" s="93"/>
      <c r="E274" s="93"/>
      <c r="F274" s="93"/>
      <c r="G274" s="124"/>
      <c r="H274" s="124"/>
      <c r="I274" s="93"/>
      <c r="J274" s="93"/>
      <c r="K274" s="93"/>
      <c r="L274" s="93"/>
    </row>
    <row r="275" spans="1:12" s="90" customFormat="1" ht="12.75" customHeight="1" thickBot="1">
      <c r="A275" s="90" t="s">
        <v>793</v>
      </c>
      <c r="B275" s="124"/>
      <c r="C275" s="93"/>
      <c r="D275" s="93"/>
      <c r="E275" s="93"/>
      <c r="F275" s="93"/>
      <c r="G275" s="124"/>
      <c r="H275" s="124"/>
      <c r="I275" s="595"/>
      <c r="J275" s="595"/>
      <c r="K275" s="93"/>
      <c r="L275" s="596" t="s">
        <v>216</v>
      </c>
    </row>
    <row r="276" spans="1:12" s="90" customFormat="1" ht="24.75" customHeight="1">
      <c r="A276" s="96"/>
      <c r="B276" s="97" t="s">
        <v>104</v>
      </c>
      <c r="C276" s="86" t="s">
        <v>227</v>
      </c>
      <c r="D276" s="86" t="s">
        <v>844</v>
      </c>
      <c r="E276" s="86" t="s">
        <v>303</v>
      </c>
      <c r="F276" s="87" t="s">
        <v>304</v>
      </c>
      <c r="G276" s="96">
        <v>120</v>
      </c>
      <c r="H276" s="97" t="s">
        <v>105</v>
      </c>
      <c r="I276" s="86" t="s">
        <v>227</v>
      </c>
      <c r="J276" s="86" t="s">
        <v>844</v>
      </c>
      <c r="K276" s="86" t="s">
        <v>303</v>
      </c>
      <c r="L276" s="87" t="s">
        <v>304</v>
      </c>
    </row>
    <row r="277" spans="1:12" s="90" customFormat="1" ht="12.75" customHeight="1">
      <c r="A277" s="99" t="s">
        <v>23</v>
      </c>
      <c r="B277" s="100" t="s">
        <v>108</v>
      </c>
      <c r="C277" s="101"/>
      <c r="D277" s="101"/>
      <c r="E277" s="101"/>
      <c r="F277" s="102"/>
      <c r="G277" s="99" t="s">
        <v>23</v>
      </c>
      <c r="H277" s="100" t="s">
        <v>129</v>
      </c>
      <c r="I277" s="101">
        <f>SUM(I278:I282)</f>
        <v>5380417</v>
      </c>
      <c r="J277" s="101">
        <f>SUM(J278:J282)</f>
        <v>5380417</v>
      </c>
      <c r="K277" s="101">
        <f>SUM(K278:K282)</f>
        <v>1420098</v>
      </c>
      <c r="L277" s="102">
        <f>+K277/J277</f>
        <v>0.2639382783899464</v>
      </c>
    </row>
    <row r="278" spans="1:12" s="90" customFormat="1" ht="12.75" customHeight="1">
      <c r="A278" s="99" t="s">
        <v>111</v>
      </c>
      <c r="B278" s="116" t="s">
        <v>209</v>
      </c>
      <c r="C278" s="106"/>
      <c r="D278" s="106"/>
      <c r="E278" s="106"/>
      <c r="F278" s="599"/>
      <c r="G278" s="99" t="s">
        <v>111</v>
      </c>
      <c r="H278" s="116" t="s">
        <v>80</v>
      </c>
      <c r="I278" s="106">
        <v>2545432</v>
      </c>
      <c r="J278" s="106">
        <v>2545432</v>
      </c>
      <c r="K278" s="106">
        <v>1222267</v>
      </c>
      <c r="L278" s="599">
        <f>+K278/J278</f>
        <v>0.48018057445651663</v>
      </c>
    </row>
    <row r="279" spans="1:12" s="90" customFormat="1" ht="12.75" customHeight="1">
      <c r="A279" s="99"/>
      <c r="B279" s="116" t="s">
        <v>210</v>
      </c>
      <c r="C279" s="106"/>
      <c r="D279" s="106"/>
      <c r="E279" s="106"/>
      <c r="F279" s="599"/>
      <c r="G279" s="99" t="s">
        <v>112</v>
      </c>
      <c r="H279" s="116" t="s">
        <v>147</v>
      </c>
      <c r="I279" s="106">
        <v>502376</v>
      </c>
      <c r="J279" s="106">
        <v>502376</v>
      </c>
      <c r="K279" s="106">
        <v>197831</v>
      </c>
      <c r="L279" s="599">
        <f>+K279/J279</f>
        <v>0.3937907065624154</v>
      </c>
    </row>
    <row r="280" spans="1:12" s="90" customFormat="1" ht="12.75" customHeight="1">
      <c r="A280" s="99" t="s">
        <v>112</v>
      </c>
      <c r="B280" s="116" t="s">
        <v>9</v>
      </c>
      <c r="C280" s="106"/>
      <c r="D280" s="106"/>
      <c r="E280" s="106"/>
      <c r="F280" s="599"/>
      <c r="G280" s="99" t="s">
        <v>113</v>
      </c>
      <c r="H280" s="116" t="s">
        <v>83</v>
      </c>
      <c r="I280" s="106">
        <f>2392045-46800-12636</f>
        <v>2332609</v>
      </c>
      <c r="J280" s="106">
        <f>2392045-46800-12636</f>
        <v>2332609</v>
      </c>
      <c r="K280" s="106">
        <v>0</v>
      </c>
      <c r="L280" s="599">
        <f>+K280/J280</f>
        <v>0</v>
      </c>
    </row>
    <row r="281" spans="1:12" s="90" customFormat="1" ht="12.75" customHeight="1">
      <c r="A281" s="99" t="s">
        <v>113</v>
      </c>
      <c r="B281" s="116" t="s">
        <v>170</v>
      </c>
      <c r="C281" s="106"/>
      <c r="D281" s="106"/>
      <c r="E281" s="106"/>
      <c r="F281" s="599"/>
      <c r="G281" s="99" t="s">
        <v>114</v>
      </c>
      <c r="H281" s="116" t="s">
        <v>84</v>
      </c>
      <c r="I281" s="106"/>
      <c r="J281" s="106"/>
      <c r="K281" s="106"/>
      <c r="L281" s="599"/>
    </row>
    <row r="282" spans="1:12" s="90" customFormat="1" ht="12.75" customHeight="1">
      <c r="A282" s="99" t="s">
        <v>114</v>
      </c>
      <c r="B282" s="116" t="s">
        <v>181</v>
      </c>
      <c r="C282" s="106"/>
      <c r="D282" s="106"/>
      <c r="E282" s="106"/>
      <c r="F282" s="599"/>
      <c r="G282" s="99" t="s">
        <v>115</v>
      </c>
      <c r="H282" s="116" t="s">
        <v>211</v>
      </c>
      <c r="I282" s="106"/>
      <c r="J282" s="106"/>
      <c r="K282" s="106"/>
      <c r="L282" s="599"/>
    </row>
    <row r="283" spans="1:12" s="90" customFormat="1" ht="12.75" customHeight="1">
      <c r="A283" s="112" t="s">
        <v>45</v>
      </c>
      <c r="B283" s="100" t="s">
        <v>118</v>
      </c>
      <c r="C283" s="101"/>
      <c r="D283" s="101"/>
      <c r="E283" s="101"/>
      <c r="F283" s="102"/>
      <c r="G283" s="112" t="s">
        <v>45</v>
      </c>
      <c r="H283" s="100" t="s">
        <v>130</v>
      </c>
      <c r="I283" s="101"/>
      <c r="J283" s="101"/>
      <c r="K283" s="101"/>
      <c r="L283" s="102"/>
    </row>
    <row r="284" spans="1:12" s="90" customFormat="1" ht="12.75" customHeight="1">
      <c r="A284" s="112" t="s">
        <v>111</v>
      </c>
      <c r="B284" s="100" t="s">
        <v>106</v>
      </c>
      <c r="C284" s="106"/>
      <c r="D284" s="106"/>
      <c r="E284" s="106"/>
      <c r="F284" s="599"/>
      <c r="G284" s="112" t="s">
        <v>111</v>
      </c>
      <c r="H284" s="100" t="s">
        <v>131</v>
      </c>
      <c r="I284" s="106"/>
      <c r="J284" s="106"/>
      <c r="K284" s="106"/>
      <c r="L284" s="599"/>
    </row>
    <row r="285" spans="1:12" s="90" customFormat="1" ht="12.75" customHeight="1">
      <c r="A285" s="112" t="s">
        <v>112</v>
      </c>
      <c r="B285" s="100" t="s">
        <v>39</v>
      </c>
      <c r="C285" s="106"/>
      <c r="D285" s="106"/>
      <c r="E285" s="106"/>
      <c r="F285" s="599"/>
      <c r="G285" s="112" t="s">
        <v>112</v>
      </c>
      <c r="H285" s="100" t="s">
        <v>87</v>
      </c>
      <c r="I285" s="106"/>
      <c r="J285" s="106"/>
      <c r="K285" s="106"/>
      <c r="L285" s="599"/>
    </row>
    <row r="286" spans="1:12" s="90" customFormat="1" ht="12.75" customHeight="1">
      <c r="A286" s="112" t="s">
        <v>113</v>
      </c>
      <c r="B286" s="100" t="s">
        <v>201</v>
      </c>
      <c r="C286" s="106"/>
      <c r="D286" s="106"/>
      <c r="E286" s="106"/>
      <c r="F286" s="599"/>
      <c r="G286" s="112" t="s">
        <v>113</v>
      </c>
      <c r="H286" s="100" t="s">
        <v>90</v>
      </c>
      <c r="I286" s="106"/>
      <c r="J286" s="106"/>
      <c r="K286" s="106"/>
      <c r="L286" s="599"/>
    </row>
    <row r="287" spans="1:12" s="90" customFormat="1" ht="12.75" customHeight="1">
      <c r="A287" s="112" t="s">
        <v>56</v>
      </c>
      <c r="B287" s="100" t="s">
        <v>126</v>
      </c>
      <c r="C287" s="101">
        <v>5380417</v>
      </c>
      <c r="D287" s="101">
        <v>5380417</v>
      </c>
      <c r="E287" s="101">
        <v>5380417</v>
      </c>
      <c r="F287" s="102">
        <f>E287/D287</f>
        <v>1</v>
      </c>
      <c r="G287" s="112" t="s">
        <v>56</v>
      </c>
      <c r="H287" s="100" t="s">
        <v>132</v>
      </c>
      <c r="I287" s="101"/>
      <c r="J287" s="101"/>
      <c r="K287" s="101"/>
      <c r="L287" s="102"/>
    </row>
    <row r="288" spans="1:12" s="90" customFormat="1" ht="12.75" customHeight="1">
      <c r="A288" s="99" t="s">
        <v>64</v>
      </c>
      <c r="B288" s="116" t="s">
        <v>127</v>
      </c>
      <c r="C288" s="101"/>
      <c r="D288" s="101"/>
      <c r="E288" s="101"/>
      <c r="F288" s="102"/>
      <c r="G288" s="99" t="s">
        <v>64</v>
      </c>
      <c r="H288" s="116" t="s">
        <v>133</v>
      </c>
      <c r="I288" s="101"/>
      <c r="J288" s="101"/>
      <c r="K288" s="101"/>
      <c r="L288" s="102"/>
    </row>
    <row r="289" spans="1:12" s="124" customFormat="1" ht="12.75" customHeight="1" thickBot="1">
      <c r="A289" s="117"/>
      <c r="B289" s="118" t="s">
        <v>148</v>
      </c>
      <c r="C289" s="88">
        <f>+C277+C283+C287+C288</f>
        <v>5380417</v>
      </c>
      <c r="D289" s="88">
        <f>+D277+D283+D287+D288</f>
        <v>5380417</v>
      </c>
      <c r="E289" s="88">
        <f>+E277+E283+E287+E288</f>
        <v>5380417</v>
      </c>
      <c r="F289" s="119">
        <f>+E289/D289</f>
        <v>1</v>
      </c>
      <c r="G289" s="117"/>
      <c r="H289" s="118" t="s">
        <v>149</v>
      </c>
      <c r="I289" s="88">
        <f>I277+I283+I287+I288</f>
        <v>5380417</v>
      </c>
      <c r="J289" s="88">
        <f>J277+J283+J287+J288</f>
        <v>5380417</v>
      </c>
      <c r="K289" s="88">
        <f>K277+K283+K287+K288</f>
        <v>1420098</v>
      </c>
      <c r="L289" s="119">
        <f>+K289/J289</f>
        <v>0.2639382783899464</v>
      </c>
    </row>
    <row r="290" spans="1:12" s="126" customFormat="1" ht="12.75" customHeight="1">
      <c r="A290" s="124"/>
      <c r="B290" s="124"/>
      <c r="C290" s="93"/>
      <c r="D290" s="93"/>
      <c r="E290" s="93"/>
      <c r="F290" s="93"/>
      <c r="G290" s="124"/>
      <c r="H290" s="124"/>
      <c r="I290" s="93"/>
      <c r="J290" s="93"/>
      <c r="K290" s="93"/>
      <c r="L290" s="93"/>
    </row>
    <row r="291" spans="1:12" s="90" customFormat="1" ht="12.75" customHeight="1" thickBot="1">
      <c r="A291" s="90" t="s">
        <v>794</v>
      </c>
      <c r="B291" s="124"/>
      <c r="C291" s="93"/>
      <c r="D291" s="93"/>
      <c r="E291" s="93"/>
      <c r="F291" s="93"/>
      <c r="G291" s="124"/>
      <c r="H291" s="124"/>
      <c r="I291" s="595"/>
      <c r="J291" s="595"/>
      <c r="K291" s="93"/>
      <c r="L291" s="596" t="s">
        <v>216</v>
      </c>
    </row>
    <row r="292" spans="1:12" s="90" customFormat="1" ht="24.75" customHeight="1">
      <c r="A292" s="96"/>
      <c r="B292" s="97" t="s">
        <v>104</v>
      </c>
      <c r="C292" s="86" t="s">
        <v>227</v>
      </c>
      <c r="D292" s="86" t="s">
        <v>844</v>
      </c>
      <c r="E292" s="86" t="s">
        <v>303</v>
      </c>
      <c r="F292" s="87" t="s">
        <v>304</v>
      </c>
      <c r="G292" s="96">
        <v>125</v>
      </c>
      <c r="H292" s="97" t="s">
        <v>105</v>
      </c>
      <c r="I292" s="86" t="s">
        <v>227</v>
      </c>
      <c r="J292" s="86" t="s">
        <v>844</v>
      </c>
      <c r="K292" s="86" t="s">
        <v>303</v>
      </c>
      <c r="L292" s="87" t="s">
        <v>304</v>
      </c>
    </row>
    <row r="293" spans="1:12" s="90" customFormat="1" ht="12.75" customHeight="1">
      <c r="A293" s="99" t="s">
        <v>23</v>
      </c>
      <c r="B293" s="100" t="s">
        <v>108</v>
      </c>
      <c r="C293" s="101">
        <f>+C294+C296+C297+C298</f>
        <v>4055736</v>
      </c>
      <c r="D293" s="101">
        <f>+D294+D296+D297+D298</f>
        <v>4055736</v>
      </c>
      <c r="E293" s="101">
        <f>+E294+E296+E297+E298</f>
        <v>4055736</v>
      </c>
      <c r="F293" s="102">
        <f>E293/D293</f>
        <v>1</v>
      </c>
      <c r="G293" s="99" t="s">
        <v>23</v>
      </c>
      <c r="H293" s="100" t="s">
        <v>129</v>
      </c>
      <c r="I293" s="101">
        <f>SUM(I294:I298)</f>
        <v>4055736</v>
      </c>
      <c r="J293" s="101">
        <f>SUM(J294:J298)</f>
        <v>4055736</v>
      </c>
      <c r="K293" s="101">
        <f>SUM(K294:K298)</f>
        <v>0</v>
      </c>
      <c r="L293" s="102">
        <f>+K293/J293</f>
        <v>0</v>
      </c>
    </row>
    <row r="294" spans="1:12" s="90" customFormat="1" ht="12.75" customHeight="1">
      <c r="A294" s="99" t="s">
        <v>111</v>
      </c>
      <c r="B294" s="116" t="s">
        <v>209</v>
      </c>
      <c r="C294" s="106">
        <f>C295</f>
        <v>4055736</v>
      </c>
      <c r="D294" s="106">
        <f>D295</f>
        <v>4055736</v>
      </c>
      <c r="E294" s="106">
        <v>4055736</v>
      </c>
      <c r="F294" s="599">
        <f>E294/D294</f>
        <v>1</v>
      </c>
      <c r="G294" s="99" t="s">
        <v>111</v>
      </c>
      <c r="H294" s="116" t="s">
        <v>80</v>
      </c>
      <c r="I294" s="106">
        <v>3059716</v>
      </c>
      <c r="J294" s="106">
        <v>3059716</v>
      </c>
      <c r="K294" s="106">
        <v>0</v>
      </c>
      <c r="L294" s="599">
        <f>+K294/J294+IF(L294=0/0,0%)</f>
        <v>0</v>
      </c>
    </row>
    <row r="295" spans="1:12" s="90" customFormat="1" ht="12.75" customHeight="1">
      <c r="A295" s="99"/>
      <c r="B295" s="116" t="s">
        <v>210</v>
      </c>
      <c r="C295" s="106">
        <v>4055736</v>
      </c>
      <c r="D295" s="106">
        <v>4055736</v>
      </c>
      <c r="E295" s="106">
        <v>4055736</v>
      </c>
      <c r="F295" s="599">
        <f>E295/D295</f>
        <v>1</v>
      </c>
      <c r="G295" s="99" t="s">
        <v>112</v>
      </c>
      <c r="H295" s="116" t="s">
        <v>147</v>
      </c>
      <c r="I295" s="106">
        <v>719033</v>
      </c>
      <c r="J295" s="106">
        <v>719033</v>
      </c>
      <c r="K295" s="106">
        <v>0</v>
      </c>
      <c r="L295" s="599">
        <f>+K295/J295+IF(L295=0/0,0%)</f>
        <v>0</v>
      </c>
    </row>
    <row r="296" spans="1:12" s="90" customFormat="1" ht="12.75" customHeight="1">
      <c r="A296" s="99" t="s">
        <v>112</v>
      </c>
      <c r="B296" s="116" t="s">
        <v>9</v>
      </c>
      <c r="C296" s="106"/>
      <c r="D296" s="106"/>
      <c r="E296" s="106"/>
      <c r="F296" s="599"/>
      <c r="G296" s="99" t="s">
        <v>113</v>
      </c>
      <c r="H296" s="116" t="s">
        <v>83</v>
      </c>
      <c r="I296" s="106">
        <f>276987-118872</f>
        <v>158115</v>
      </c>
      <c r="J296" s="106">
        <f>276987-118872</f>
        <v>158115</v>
      </c>
      <c r="K296" s="106">
        <v>0</v>
      </c>
      <c r="L296" s="599">
        <f>+K296/J296+IF(L296=0/0,0%)</f>
        <v>0</v>
      </c>
    </row>
    <row r="297" spans="1:12" s="90" customFormat="1" ht="12.75" customHeight="1">
      <c r="A297" s="99" t="s">
        <v>113</v>
      </c>
      <c r="B297" s="116" t="s">
        <v>170</v>
      </c>
      <c r="C297" s="106"/>
      <c r="D297" s="106"/>
      <c r="E297" s="106"/>
      <c r="F297" s="599"/>
      <c r="G297" s="99" t="s">
        <v>114</v>
      </c>
      <c r="H297" s="116" t="s">
        <v>84</v>
      </c>
      <c r="I297" s="106"/>
      <c r="J297" s="106"/>
      <c r="K297" s="106"/>
      <c r="L297" s="599"/>
    </row>
    <row r="298" spans="1:12" s="90" customFormat="1" ht="12.75" customHeight="1">
      <c r="A298" s="99" t="s">
        <v>114</v>
      </c>
      <c r="B298" s="116" t="s">
        <v>181</v>
      </c>
      <c r="C298" s="106"/>
      <c r="D298" s="106"/>
      <c r="E298" s="106"/>
      <c r="F298" s="599"/>
      <c r="G298" s="99" t="s">
        <v>115</v>
      </c>
      <c r="H298" s="116" t="s">
        <v>211</v>
      </c>
      <c r="I298" s="106">
        <f>2*59436</f>
        <v>118872</v>
      </c>
      <c r="J298" s="106">
        <f>2*59436</f>
        <v>118872</v>
      </c>
      <c r="K298" s="106">
        <v>0</v>
      </c>
      <c r="L298" s="599">
        <f>+K298/J298+IF(L298=0/0,0%)</f>
        <v>0</v>
      </c>
    </row>
    <row r="299" spans="1:12" s="90" customFormat="1" ht="12.75" customHeight="1">
      <c r="A299" s="112" t="s">
        <v>45</v>
      </c>
      <c r="B299" s="100" t="s">
        <v>118</v>
      </c>
      <c r="C299" s="101"/>
      <c r="D299" s="101"/>
      <c r="E299" s="101"/>
      <c r="F299" s="102"/>
      <c r="G299" s="112" t="s">
        <v>45</v>
      </c>
      <c r="H299" s="100" t="s">
        <v>130</v>
      </c>
      <c r="I299" s="101"/>
      <c r="J299" s="101"/>
      <c r="K299" s="101"/>
      <c r="L299" s="102"/>
    </row>
    <row r="300" spans="1:12" s="90" customFormat="1" ht="12.75" customHeight="1">
      <c r="A300" s="112" t="s">
        <v>111</v>
      </c>
      <c r="B300" s="100" t="s">
        <v>106</v>
      </c>
      <c r="C300" s="106"/>
      <c r="D300" s="106"/>
      <c r="E300" s="106"/>
      <c r="F300" s="599"/>
      <c r="G300" s="112" t="s">
        <v>111</v>
      </c>
      <c r="H300" s="100" t="s">
        <v>131</v>
      </c>
      <c r="I300" s="106"/>
      <c r="J300" s="106"/>
      <c r="K300" s="106"/>
      <c r="L300" s="599"/>
    </row>
    <row r="301" spans="1:12" s="90" customFormat="1" ht="12.75" customHeight="1">
      <c r="A301" s="112" t="s">
        <v>112</v>
      </c>
      <c r="B301" s="100" t="s">
        <v>39</v>
      </c>
      <c r="C301" s="106"/>
      <c r="D301" s="106"/>
      <c r="E301" s="106"/>
      <c r="F301" s="599"/>
      <c r="G301" s="112" t="s">
        <v>112</v>
      </c>
      <c r="H301" s="100" t="s">
        <v>87</v>
      </c>
      <c r="I301" s="106"/>
      <c r="J301" s="106"/>
      <c r="K301" s="106"/>
      <c r="L301" s="599"/>
    </row>
    <row r="302" spans="1:12" s="90" customFormat="1" ht="12.75" customHeight="1">
      <c r="A302" s="112" t="s">
        <v>113</v>
      </c>
      <c r="B302" s="100" t="s">
        <v>201</v>
      </c>
      <c r="C302" s="106"/>
      <c r="D302" s="106"/>
      <c r="E302" s="106"/>
      <c r="F302" s="599"/>
      <c r="G302" s="112" t="s">
        <v>113</v>
      </c>
      <c r="H302" s="100" t="s">
        <v>90</v>
      </c>
      <c r="I302" s="106"/>
      <c r="J302" s="106"/>
      <c r="K302" s="106"/>
      <c r="L302" s="599"/>
    </row>
    <row r="303" spans="1:12" s="90" customFormat="1" ht="12.75" customHeight="1">
      <c r="A303" s="112" t="s">
        <v>56</v>
      </c>
      <c r="B303" s="100" t="s">
        <v>126</v>
      </c>
      <c r="C303" s="101"/>
      <c r="D303" s="101"/>
      <c r="E303" s="101"/>
      <c r="F303" s="102"/>
      <c r="G303" s="112" t="s">
        <v>56</v>
      </c>
      <c r="H303" s="100" t="s">
        <v>132</v>
      </c>
      <c r="I303" s="101"/>
      <c r="J303" s="101"/>
      <c r="K303" s="101"/>
      <c r="L303" s="102"/>
    </row>
    <row r="304" spans="1:12" s="90" customFormat="1" ht="12.75" customHeight="1">
      <c r="A304" s="99" t="s">
        <v>64</v>
      </c>
      <c r="B304" s="116" t="s">
        <v>127</v>
      </c>
      <c r="C304" s="101"/>
      <c r="D304" s="101"/>
      <c r="E304" s="101"/>
      <c r="F304" s="102"/>
      <c r="G304" s="99" t="s">
        <v>64</v>
      </c>
      <c r="H304" s="116" t="s">
        <v>133</v>
      </c>
      <c r="I304" s="101"/>
      <c r="J304" s="101"/>
      <c r="K304" s="101"/>
      <c r="L304" s="102"/>
    </row>
    <row r="305" spans="1:12" s="124" customFormat="1" ht="12.75" customHeight="1" thickBot="1">
      <c r="A305" s="117"/>
      <c r="B305" s="118" t="s">
        <v>148</v>
      </c>
      <c r="C305" s="88">
        <f>+C293+C299+C303+C304</f>
        <v>4055736</v>
      </c>
      <c r="D305" s="88">
        <f>+D293+D299+D303+D304</f>
        <v>4055736</v>
      </c>
      <c r="E305" s="88">
        <f>+E293+E299+E303+E304</f>
        <v>4055736</v>
      </c>
      <c r="F305" s="119">
        <f>E305/D305</f>
        <v>1</v>
      </c>
      <c r="G305" s="117"/>
      <c r="H305" s="118" t="s">
        <v>149</v>
      </c>
      <c r="I305" s="88">
        <f>I293+I299+I303+I304</f>
        <v>4055736</v>
      </c>
      <c r="J305" s="88">
        <f>J293+J299+J303+J304</f>
        <v>4055736</v>
      </c>
      <c r="K305" s="88">
        <f>K293+K299+K303+K304</f>
        <v>0</v>
      </c>
      <c r="L305" s="119">
        <f>+K305/J305</f>
        <v>0</v>
      </c>
    </row>
    <row r="306" spans="1:12" s="126" customFormat="1" ht="12.75" customHeight="1">
      <c r="A306" s="124"/>
      <c r="B306" s="124"/>
      <c r="C306" s="93"/>
      <c r="D306" s="93"/>
      <c r="E306" s="639"/>
      <c r="F306" s="639"/>
      <c r="G306" s="124"/>
      <c r="H306" s="124"/>
      <c r="I306" s="93"/>
      <c r="J306" s="93"/>
      <c r="K306" s="639"/>
      <c r="L306" s="596"/>
    </row>
    <row r="307" spans="1:12" s="90" customFormat="1" ht="12.75" customHeight="1" thickBot="1">
      <c r="A307" s="90" t="s">
        <v>249</v>
      </c>
      <c r="B307" s="124"/>
      <c r="C307" s="93"/>
      <c r="D307" s="93"/>
      <c r="E307" s="93"/>
      <c r="F307" s="93"/>
      <c r="G307" s="124"/>
      <c r="H307" s="124"/>
      <c r="I307" s="595"/>
      <c r="J307" s="595"/>
      <c r="K307" s="93"/>
      <c r="L307" s="596" t="s">
        <v>216</v>
      </c>
    </row>
    <row r="308" spans="1:12" s="90" customFormat="1" ht="24.75" customHeight="1">
      <c r="A308" s="96"/>
      <c r="B308" s="97" t="s">
        <v>104</v>
      </c>
      <c r="C308" s="86" t="s">
        <v>227</v>
      </c>
      <c r="D308" s="86" t="s">
        <v>844</v>
      </c>
      <c r="E308" s="86" t="s">
        <v>303</v>
      </c>
      <c r="F308" s="87" t="s">
        <v>304</v>
      </c>
      <c r="G308" s="96">
        <v>35</v>
      </c>
      <c r="H308" s="97" t="s">
        <v>105</v>
      </c>
      <c r="I308" s="86" t="s">
        <v>227</v>
      </c>
      <c r="J308" s="86" t="s">
        <v>844</v>
      </c>
      <c r="K308" s="86" t="s">
        <v>303</v>
      </c>
      <c r="L308" s="87" t="s">
        <v>304</v>
      </c>
    </row>
    <row r="309" spans="1:12" s="90" customFormat="1" ht="12.75" customHeight="1">
      <c r="A309" s="99" t="s">
        <v>23</v>
      </c>
      <c r="B309" s="100" t="s">
        <v>108</v>
      </c>
      <c r="C309" s="101"/>
      <c r="D309" s="101"/>
      <c r="E309" s="101"/>
      <c r="F309" s="102"/>
      <c r="G309" s="99" t="s">
        <v>23</v>
      </c>
      <c r="H309" s="100" t="s">
        <v>129</v>
      </c>
      <c r="I309" s="101">
        <f>SUM(I310:I314)</f>
        <v>293424</v>
      </c>
      <c r="J309" s="101">
        <f>SUM(J310:J314)</f>
        <v>293424</v>
      </c>
      <c r="K309" s="101">
        <f>SUM(K310:K314)</f>
        <v>133424</v>
      </c>
      <c r="L309" s="102">
        <f>+K309/J309</f>
        <v>0.4547139974916844</v>
      </c>
    </row>
    <row r="310" spans="1:12" s="90" customFormat="1" ht="12.75" customHeight="1">
      <c r="A310" s="99" t="s">
        <v>111</v>
      </c>
      <c r="B310" s="116" t="s">
        <v>209</v>
      </c>
      <c r="C310" s="106"/>
      <c r="D310" s="106"/>
      <c r="E310" s="106"/>
      <c r="F310" s="599"/>
      <c r="G310" s="99" t="s">
        <v>111</v>
      </c>
      <c r="H310" s="116" t="s">
        <v>80</v>
      </c>
      <c r="I310" s="106">
        <v>113577</v>
      </c>
      <c r="J310" s="106">
        <v>113577</v>
      </c>
      <c r="K310" s="106">
        <v>113577</v>
      </c>
      <c r="L310" s="599">
        <f>+K310/J310</f>
        <v>1</v>
      </c>
    </row>
    <row r="311" spans="1:12" s="90" customFormat="1" ht="12.75" customHeight="1">
      <c r="A311" s="99"/>
      <c r="B311" s="116" t="s">
        <v>210</v>
      </c>
      <c r="C311" s="106"/>
      <c r="D311" s="106"/>
      <c r="E311" s="106"/>
      <c r="F311" s="599"/>
      <c r="G311" s="99" t="s">
        <v>112</v>
      </c>
      <c r="H311" s="116" t="s">
        <v>147</v>
      </c>
      <c r="I311" s="106">
        <v>19847</v>
      </c>
      <c r="J311" s="106">
        <v>19847</v>
      </c>
      <c r="K311" s="106">
        <v>19847</v>
      </c>
      <c r="L311" s="599">
        <f>+K311/J311</f>
        <v>1</v>
      </c>
    </row>
    <row r="312" spans="1:12" s="90" customFormat="1" ht="12.75" customHeight="1">
      <c r="A312" s="99" t="s">
        <v>112</v>
      </c>
      <c r="B312" s="116" t="s">
        <v>9</v>
      </c>
      <c r="C312" s="106"/>
      <c r="D312" s="106"/>
      <c r="E312" s="106"/>
      <c r="F312" s="599"/>
      <c r="G312" s="99" t="s">
        <v>113</v>
      </c>
      <c r="H312" s="116" t="s">
        <v>83</v>
      </c>
      <c r="I312" s="106">
        <f>170000+241300-7874-2126-241300</f>
        <v>160000</v>
      </c>
      <c r="J312" s="106">
        <f>170000+241300-7874-2126-241300</f>
        <v>160000</v>
      </c>
      <c r="K312" s="106">
        <v>0</v>
      </c>
      <c r="L312" s="599">
        <f>+K312/J312</f>
        <v>0</v>
      </c>
    </row>
    <row r="313" spans="1:12" s="90" customFormat="1" ht="12.75" customHeight="1">
      <c r="A313" s="99" t="s">
        <v>113</v>
      </c>
      <c r="B313" s="116" t="s">
        <v>170</v>
      </c>
      <c r="C313" s="106"/>
      <c r="D313" s="106"/>
      <c r="E313" s="106"/>
      <c r="F313" s="599"/>
      <c r="G313" s="99" t="s">
        <v>114</v>
      </c>
      <c r="H313" s="116" t="s">
        <v>84</v>
      </c>
      <c r="I313" s="106"/>
      <c r="J313" s="106"/>
      <c r="K313" s="106"/>
      <c r="L313" s="599"/>
    </row>
    <row r="314" spans="1:12" s="90" customFormat="1" ht="12.75" customHeight="1">
      <c r="A314" s="99" t="s">
        <v>114</v>
      </c>
      <c r="B314" s="116" t="s">
        <v>181</v>
      </c>
      <c r="C314" s="106"/>
      <c r="D314" s="106"/>
      <c r="E314" s="106"/>
      <c r="F314" s="599"/>
      <c r="G314" s="99" t="s">
        <v>115</v>
      </c>
      <c r="H314" s="116" t="s">
        <v>211</v>
      </c>
      <c r="I314" s="106"/>
      <c r="J314" s="106"/>
      <c r="K314" s="106"/>
      <c r="L314" s="599"/>
    </row>
    <row r="315" spans="1:12" s="90" customFormat="1" ht="12.75" customHeight="1">
      <c r="A315" s="112" t="s">
        <v>45</v>
      </c>
      <c r="B315" s="100" t="s">
        <v>118</v>
      </c>
      <c r="C315" s="101"/>
      <c r="D315" s="101"/>
      <c r="E315" s="101"/>
      <c r="F315" s="102"/>
      <c r="G315" s="112" t="s">
        <v>45</v>
      </c>
      <c r="H315" s="100" t="s">
        <v>130</v>
      </c>
      <c r="I315" s="101"/>
      <c r="J315" s="101"/>
      <c r="K315" s="101"/>
      <c r="L315" s="102"/>
    </row>
    <row r="316" spans="1:12" s="90" customFormat="1" ht="12.75" customHeight="1">
      <c r="A316" s="112" t="s">
        <v>111</v>
      </c>
      <c r="B316" s="100" t="s">
        <v>106</v>
      </c>
      <c r="C316" s="106"/>
      <c r="D316" s="106"/>
      <c r="E316" s="106"/>
      <c r="F316" s="599"/>
      <c r="G316" s="112" t="s">
        <v>111</v>
      </c>
      <c r="H316" s="100" t="s">
        <v>131</v>
      </c>
      <c r="I316" s="106"/>
      <c r="J316" s="106"/>
      <c r="K316" s="106"/>
      <c r="L316" s="599"/>
    </row>
    <row r="317" spans="1:12" s="90" customFormat="1" ht="12.75" customHeight="1">
      <c r="A317" s="112" t="s">
        <v>112</v>
      </c>
      <c r="B317" s="100" t="s">
        <v>39</v>
      </c>
      <c r="C317" s="106"/>
      <c r="D317" s="106"/>
      <c r="E317" s="106"/>
      <c r="F317" s="599"/>
      <c r="G317" s="112" t="s">
        <v>112</v>
      </c>
      <c r="H317" s="100" t="s">
        <v>87</v>
      </c>
      <c r="I317" s="106"/>
      <c r="J317" s="106"/>
      <c r="K317" s="106"/>
      <c r="L317" s="599"/>
    </row>
    <row r="318" spans="1:12" s="90" customFormat="1" ht="12.75" customHeight="1">
      <c r="A318" s="112" t="s">
        <v>113</v>
      </c>
      <c r="B318" s="100" t="s">
        <v>201</v>
      </c>
      <c r="C318" s="106"/>
      <c r="D318" s="106"/>
      <c r="E318" s="106"/>
      <c r="F318" s="599"/>
      <c r="G318" s="112" t="s">
        <v>113</v>
      </c>
      <c r="H318" s="100" t="s">
        <v>90</v>
      </c>
      <c r="I318" s="106"/>
      <c r="J318" s="106"/>
      <c r="K318" s="106"/>
      <c r="L318" s="599"/>
    </row>
    <row r="319" spans="1:12" s="90" customFormat="1" ht="12.75" customHeight="1">
      <c r="A319" s="112" t="s">
        <v>56</v>
      </c>
      <c r="B319" s="100" t="s">
        <v>126</v>
      </c>
      <c r="C319" s="101">
        <v>293424</v>
      </c>
      <c r="D319" s="101">
        <v>293424</v>
      </c>
      <c r="E319" s="101">
        <v>293424</v>
      </c>
      <c r="F319" s="102">
        <f>+E319/D319</f>
        <v>1</v>
      </c>
      <c r="G319" s="112" t="s">
        <v>56</v>
      </c>
      <c r="H319" s="100" t="s">
        <v>132</v>
      </c>
      <c r="I319" s="101"/>
      <c r="J319" s="101"/>
      <c r="K319" s="101"/>
      <c r="L319" s="102"/>
    </row>
    <row r="320" spans="1:12" s="90" customFormat="1" ht="12.75" customHeight="1">
      <c r="A320" s="99" t="s">
        <v>64</v>
      </c>
      <c r="B320" s="116" t="s">
        <v>127</v>
      </c>
      <c r="C320" s="101"/>
      <c r="D320" s="101"/>
      <c r="E320" s="101"/>
      <c r="F320" s="102"/>
      <c r="G320" s="99" t="s">
        <v>64</v>
      </c>
      <c r="H320" s="116" t="s">
        <v>133</v>
      </c>
      <c r="I320" s="101"/>
      <c r="J320" s="101"/>
      <c r="K320" s="101"/>
      <c r="L320" s="102"/>
    </row>
    <row r="321" spans="1:12" s="124" customFormat="1" ht="12.75" customHeight="1" thickBot="1">
      <c r="A321" s="117"/>
      <c r="B321" s="118" t="s">
        <v>148</v>
      </c>
      <c r="C321" s="88">
        <f>+C309+C315+C319+C320</f>
        <v>293424</v>
      </c>
      <c r="D321" s="88">
        <f>+D309+D315+D319+D320</f>
        <v>293424</v>
      </c>
      <c r="E321" s="88">
        <f>+E309+E315+E319+E320</f>
        <v>293424</v>
      </c>
      <c r="F321" s="119">
        <f>+E321/D321</f>
        <v>1</v>
      </c>
      <c r="G321" s="117"/>
      <c r="H321" s="118" t="s">
        <v>149</v>
      </c>
      <c r="I321" s="88">
        <f>I309+I315+I319+I320</f>
        <v>293424</v>
      </c>
      <c r="J321" s="88">
        <f>J309+J315+J319+J320</f>
        <v>293424</v>
      </c>
      <c r="K321" s="88">
        <f>K309+K315+K319+K320</f>
        <v>133424</v>
      </c>
      <c r="L321" s="119">
        <f>+K321/J321</f>
        <v>0.4547139974916844</v>
      </c>
    </row>
    <row r="322" spans="1:12" s="126" customFormat="1" ht="12.75" customHeight="1">
      <c r="A322" s="124"/>
      <c r="B322" s="124"/>
      <c r="C322" s="93"/>
      <c r="D322" s="93"/>
      <c r="E322" s="595"/>
      <c r="F322" s="595"/>
      <c r="G322" s="640"/>
      <c r="H322" s="124"/>
      <c r="I322" s="595"/>
      <c r="J322" s="595"/>
      <c r="K322" s="595"/>
      <c r="L322" s="595"/>
    </row>
    <row r="323" spans="1:12" s="90" customFormat="1" ht="12.75" customHeight="1" thickBot="1">
      <c r="A323" s="90" t="s">
        <v>247</v>
      </c>
      <c r="B323" s="124"/>
      <c r="C323" s="93"/>
      <c r="D323" s="93"/>
      <c r="E323" s="93"/>
      <c r="F323" s="93"/>
      <c r="G323" s="124"/>
      <c r="H323" s="124"/>
      <c r="I323" s="595"/>
      <c r="J323" s="595"/>
      <c r="K323" s="93"/>
      <c r="L323" s="596" t="s">
        <v>216</v>
      </c>
    </row>
    <row r="324" spans="1:12" s="90" customFormat="1" ht="24.75" customHeight="1">
      <c r="A324" s="96"/>
      <c r="B324" s="97" t="s">
        <v>104</v>
      </c>
      <c r="C324" s="86" t="s">
        <v>227</v>
      </c>
      <c r="D324" s="86" t="s">
        <v>844</v>
      </c>
      <c r="E324" s="86" t="s">
        <v>303</v>
      </c>
      <c r="F324" s="87" t="s">
        <v>304</v>
      </c>
      <c r="G324" s="96">
        <v>36</v>
      </c>
      <c r="H324" s="97" t="s">
        <v>105</v>
      </c>
      <c r="I324" s="86" t="s">
        <v>227</v>
      </c>
      <c r="J324" s="86" t="s">
        <v>844</v>
      </c>
      <c r="K324" s="86" t="s">
        <v>303</v>
      </c>
      <c r="L324" s="87" t="s">
        <v>304</v>
      </c>
    </row>
    <row r="325" spans="1:12" s="90" customFormat="1" ht="12.75" customHeight="1">
      <c r="A325" s="99" t="s">
        <v>23</v>
      </c>
      <c r="B325" s="100" t="s">
        <v>108</v>
      </c>
      <c r="C325" s="101"/>
      <c r="D325" s="101"/>
      <c r="E325" s="101"/>
      <c r="F325" s="102"/>
      <c r="G325" s="99" t="s">
        <v>23</v>
      </c>
      <c r="H325" s="100" t="s">
        <v>129</v>
      </c>
      <c r="I325" s="101">
        <f>SUM(I326:I330)</f>
        <v>1341842</v>
      </c>
      <c r="J325" s="101">
        <f>SUM(J326:J330)</f>
        <v>1341842</v>
      </c>
      <c r="K325" s="101">
        <f>SUM(K326:K330)</f>
        <v>0</v>
      </c>
      <c r="L325" s="102">
        <f>+K325/J325</f>
        <v>0</v>
      </c>
    </row>
    <row r="326" spans="1:12" s="90" customFormat="1" ht="12.75" customHeight="1">
      <c r="A326" s="99" t="s">
        <v>111</v>
      </c>
      <c r="B326" s="116" t="s">
        <v>209</v>
      </c>
      <c r="C326" s="106"/>
      <c r="D326" s="106"/>
      <c r="E326" s="106"/>
      <c r="F326" s="599"/>
      <c r="G326" s="99" t="s">
        <v>111</v>
      </c>
      <c r="H326" s="116" t="s">
        <v>80</v>
      </c>
      <c r="I326" s="106">
        <v>1141993</v>
      </c>
      <c r="J326" s="106">
        <v>1141993</v>
      </c>
      <c r="K326" s="106">
        <v>0</v>
      </c>
      <c r="L326" s="599">
        <f>+K326/J326</f>
        <v>0</v>
      </c>
    </row>
    <row r="327" spans="1:12" s="90" customFormat="1" ht="12.75" customHeight="1">
      <c r="A327" s="99"/>
      <c r="B327" s="116" t="s">
        <v>210</v>
      </c>
      <c r="C327" s="106"/>
      <c r="D327" s="106"/>
      <c r="E327" s="106"/>
      <c r="F327" s="599"/>
      <c r="G327" s="99" t="s">
        <v>112</v>
      </c>
      <c r="H327" s="116" t="s">
        <v>147</v>
      </c>
      <c r="I327" s="106">
        <v>199849</v>
      </c>
      <c r="J327" s="106">
        <v>199849</v>
      </c>
      <c r="K327" s="106">
        <v>0</v>
      </c>
      <c r="L327" s="599">
        <f>+K327/J327</f>
        <v>0</v>
      </c>
    </row>
    <row r="328" spans="1:12" s="90" customFormat="1" ht="12.75" customHeight="1">
      <c r="A328" s="99" t="s">
        <v>112</v>
      </c>
      <c r="B328" s="116" t="s">
        <v>9</v>
      </c>
      <c r="C328" s="106"/>
      <c r="D328" s="106"/>
      <c r="E328" s="106"/>
      <c r="F328" s="599"/>
      <c r="G328" s="99" t="s">
        <v>113</v>
      </c>
      <c r="H328" s="116" t="s">
        <v>83</v>
      </c>
      <c r="I328" s="106"/>
      <c r="J328" s="106"/>
      <c r="K328" s="106"/>
      <c r="L328" s="599"/>
    </row>
    <row r="329" spans="1:12" s="90" customFormat="1" ht="12.75" customHeight="1">
      <c r="A329" s="99" t="s">
        <v>113</v>
      </c>
      <c r="B329" s="116" t="s">
        <v>170</v>
      </c>
      <c r="C329" s="106"/>
      <c r="D329" s="106"/>
      <c r="E329" s="106"/>
      <c r="F329" s="599"/>
      <c r="G329" s="99" t="s">
        <v>114</v>
      </c>
      <c r="H329" s="116" t="s">
        <v>84</v>
      </c>
      <c r="I329" s="106"/>
      <c r="J329" s="106"/>
      <c r="K329" s="106"/>
      <c r="L329" s="599"/>
    </row>
    <row r="330" spans="1:12" s="90" customFormat="1" ht="12.75" customHeight="1">
      <c r="A330" s="99" t="s">
        <v>114</v>
      </c>
      <c r="B330" s="116" t="s">
        <v>181</v>
      </c>
      <c r="C330" s="106"/>
      <c r="D330" s="106"/>
      <c r="E330" s="106"/>
      <c r="F330" s="599"/>
      <c r="G330" s="99" t="s">
        <v>115</v>
      </c>
      <c r="H330" s="116" t="s">
        <v>211</v>
      </c>
      <c r="I330" s="106"/>
      <c r="J330" s="106"/>
      <c r="K330" s="106"/>
      <c r="L330" s="599"/>
    </row>
    <row r="331" spans="1:12" s="90" customFormat="1" ht="12.75" customHeight="1">
      <c r="A331" s="112" t="s">
        <v>45</v>
      </c>
      <c r="B331" s="100" t="s">
        <v>118</v>
      </c>
      <c r="C331" s="101"/>
      <c r="D331" s="101"/>
      <c r="E331" s="101"/>
      <c r="F331" s="102"/>
      <c r="G331" s="112" t="s">
        <v>45</v>
      </c>
      <c r="H331" s="100" t="s">
        <v>130</v>
      </c>
      <c r="I331" s="101"/>
      <c r="J331" s="101"/>
      <c r="K331" s="101"/>
      <c r="L331" s="102"/>
    </row>
    <row r="332" spans="1:12" s="90" customFormat="1" ht="12.75" customHeight="1">
      <c r="A332" s="112" t="s">
        <v>111</v>
      </c>
      <c r="B332" s="100" t="s">
        <v>106</v>
      </c>
      <c r="C332" s="106"/>
      <c r="D332" s="106"/>
      <c r="E332" s="106"/>
      <c r="F332" s="599"/>
      <c r="G332" s="112" t="s">
        <v>111</v>
      </c>
      <c r="H332" s="100" t="s">
        <v>131</v>
      </c>
      <c r="I332" s="106"/>
      <c r="J332" s="106"/>
      <c r="K332" s="106"/>
      <c r="L332" s="599"/>
    </row>
    <row r="333" spans="1:12" s="90" customFormat="1" ht="12.75" customHeight="1">
      <c r="A333" s="112" t="s">
        <v>112</v>
      </c>
      <c r="B333" s="100" t="s">
        <v>39</v>
      </c>
      <c r="C333" s="106"/>
      <c r="D333" s="106"/>
      <c r="E333" s="106"/>
      <c r="F333" s="599"/>
      <c r="G333" s="112" t="s">
        <v>112</v>
      </c>
      <c r="H333" s="100" t="s">
        <v>87</v>
      </c>
      <c r="I333" s="106"/>
      <c r="J333" s="106"/>
      <c r="K333" s="106"/>
      <c r="L333" s="599"/>
    </row>
    <row r="334" spans="1:12" s="90" customFormat="1" ht="12.75" customHeight="1">
      <c r="A334" s="112" t="s">
        <v>113</v>
      </c>
      <c r="B334" s="100" t="s">
        <v>201</v>
      </c>
      <c r="C334" s="106"/>
      <c r="D334" s="106"/>
      <c r="E334" s="106"/>
      <c r="F334" s="599"/>
      <c r="G334" s="112" t="s">
        <v>113</v>
      </c>
      <c r="H334" s="100" t="s">
        <v>90</v>
      </c>
      <c r="I334" s="106"/>
      <c r="J334" s="106"/>
      <c r="K334" s="106"/>
      <c r="L334" s="599"/>
    </row>
    <row r="335" spans="1:12" s="90" customFormat="1" ht="12.75" customHeight="1">
      <c r="A335" s="112" t="s">
        <v>56</v>
      </c>
      <c r="B335" s="100" t="s">
        <v>126</v>
      </c>
      <c r="C335" s="101">
        <v>1341842</v>
      </c>
      <c r="D335" s="101">
        <v>1341842</v>
      </c>
      <c r="E335" s="101">
        <v>1341842</v>
      </c>
      <c r="F335" s="102">
        <f>+E335/D335</f>
        <v>1</v>
      </c>
      <c r="G335" s="112" t="s">
        <v>56</v>
      </c>
      <c r="H335" s="100" t="s">
        <v>132</v>
      </c>
      <c r="I335" s="101"/>
      <c r="J335" s="101"/>
      <c r="K335" s="101"/>
      <c r="L335" s="102"/>
    </row>
    <row r="336" spans="1:12" s="90" customFormat="1" ht="12.75" customHeight="1">
      <c r="A336" s="99" t="s">
        <v>64</v>
      </c>
      <c r="B336" s="116" t="s">
        <v>127</v>
      </c>
      <c r="C336" s="101"/>
      <c r="D336" s="101"/>
      <c r="E336" s="101"/>
      <c r="F336" s="102"/>
      <c r="G336" s="99" t="s">
        <v>64</v>
      </c>
      <c r="H336" s="116" t="s">
        <v>133</v>
      </c>
      <c r="I336" s="101"/>
      <c r="J336" s="101"/>
      <c r="K336" s="101"/>
      <c r="L336" s="102"/>
    </row>
    <row r="337" spans="1:12" s="124" customFormat="1" ht="12.75" customHeight="1" thickBot="1">
      <c r="A337" s="117"/>
      <c r="B337" s="118" t="s">
        <v>148</v>
      </c>
      <c r="C337" s="88">
        <f>+C325+C331+C335+C336</f>
        <v>1341842</v>
      </c>
      <c r="D337" s="88">
        <f>+D325+D331+D335+D336</f>
        <v>1341842</v>
      </c>
      <c r="E337" s="88">
        <f>+E325+E331+E335+E336</f>
        <v>1341842</v>
      </c>
      <c r="F337" s="119">
        <f>+E337/D337</f>
        <v>1</v>
      </c>
      <c r="G337" s="117"/>
      <c r="H337" s="118" t="s">
        <v>149</v>
      </c>
      <c r="I337" s="88">
        <f>+I325+I331+I335+I336</f>
        <v>1341842</v>
      </c>
      <c r="J337" s="88">
        <f>+J325+J331+J335+J336</f>
        <v>1341842</v>
      </c>
      <c r="K337" s="88">
        <f>+K325+K331+K335+K336</f>
        <v>0</v>
      </c>
      <c r="L337" s="119">
        <f>+K337/J337</f>
        <v>0</v>
      </c>
    </row>
    <row r="338" spans="1:12" s="126" customFormat="1" ht="15">
      <c r="A338" s="124"/>
      <c r="B338" s="124"/>
      <c r="C338" s="93"/>
      <c r="D338" s="93"/>
      <c r="E338" s="93"/>
      <c r="F338" s="93"/>
      <c r="G338" s="124"/>
      <c r="H338" s="124"/>
      <c r="I338" s="93"/>
      <c r="J338" s="93"/>
      <c r="K338" s="93"/>
      <c r="L338" s="93"/>
    </row>
    <row r="339" spans="1:12" s="90" customFormat="1" ht="12.75" customHeight="1" thickBot="1">
      <c r="A339" s="90" t="s">
        <v>250</v>
      </c>
      <c r="B339" s="124"/>
      <c r="E339" s="93"/>
      <c r="F339" s="93"/>
      <c r="G339" s="124"/>
      <c r="H339" s="124"/>
      <c r="I339" s="595"/>
      <c r="J339" s="595"/>
      <c r="K339" s="93"/>
      <c r="L339" s="596" t="s">
        <v>216</v>
      </c>
    </row>
    <row r="340" spans="1:12" s="90" customFormat="1" ht="24.75" customHeight="1">
      <c r="A340" s="96"/>
      <c r="B340" s="97" t="s">
        <v>104</v>
      </c>
      <c r="C340" s="86" t="s">
        <v>227</v>
      </c>
      <c r="D340" s="86" t="s">
        <v>844</v>
      </c>
      <c r="E340" s="86" t="s">
        <v>303</v>
      </c>
      <c r="F340" s="87" t="s">
        <v>304</v>
      </c>
      <c r="G340" s="96">
        <v>37</v>
      </c>
      <c r="H340" s="97" t="s">
        <v>105</v>
      </c>
      <c r="I340" s="86" t="s">
        <v>227</v>
      </c>
      <c r="J340" s="86" t="s">
        <v>844</v>
      </c>
      <c r="K340" s="86" t="s">
        <v>303</v>
      </c>
      <c r="L340" s="87" t="s">
        <v>304</v>
      </c>
    </row>
    <row r="341" spans="1:12" s="90" customFormat="1" ht="12.75" customHeight="1">
      <c r="A341" s="99" t="s">
        <v>23</v>
      </c>
      <c r="B341" s="100" t="s">
        <v>108</v>
      </c>
      <c r="C341" s="101"/>
      <c r="D341" s="101"/>
      <c r="E341" s="101"/>
      <c r="F341" s="102"/>
      <c r="G341" s="99" t="s">
        <v>23</v>
      </c>
      <c r="H341" s="100" t="s">
        <v>129</v>
      </c>
      <c r="I341" s="101">
        <f>SUM(I342:I346)</f>
        <v>45809</v>
      </c>
      <c r="J341" s="101">
        <f>SUM(J342:J346)</f>
        <v>45809</v>
      </c>
      <c r="K341" s="101">
        <f>SUM(K342:K346)</f>
        <v>0</v>
      </c>
      <c r="L341" s="102">
        <f>+K341/J341</f>
        <v>0</v>
      </c>
    </row>
    <row r="342" spans="1:12" s="90" customFormat="1" ht="12.75" customHeight="1">
      <c r="A342" s="99" t="s">
        <v>111</v>
      </c>
      <c r="B342" s="116" t="s">
        <v>209</v>
      </c>
      <c r="C342" s="106"/>
      <c r="D342" s="106"/>
      <c r="E342" s="106"/>
      <c r="F342" s="599"/>
      <c r="G342" s="99" t="s">
        <v>111</v>
      </c>
      <c r="H342" s="116" t="s">
        <v>80</v>
      </c>
      <c r="I342" s="106"/>
      <c r="J342" s="106"/>
      <c r="K342" s="106"/>
      <c r="L342" s="599"/>
    </row>
    <row r="343" spans="1:12" s="90" customFormat="1" ht="12.75" customHeight="1">
      <c r="A343" s="99"/>
      <c r="B343" s="116" t="s">
        <v>210</v>
      </c>
      <c r="C343" s="106"/>
      <c r="D343" s="106"/>
      <c r="E343" s="106"/>
      <c r="F343" s="599"/>
      <c r="G343" s="99" t="s">
        <v>112</v>
      </c>
      <c r="H343" s="116" t="s">
        <v>147</v>
      </c>
      <c r="I343" s="106"/>
      <c r="J343" s="106"/>
      <c r="K343" s="106"/>
      <c r="L343" s="599"/>
    </row>
    <row r="344" spans="1:12" s="90" customFormat="1" ht="12.75" customHeight="1">
      <c r="A344" s="99" t="s">
        <v>112</v>
      </c>
      <c r="B344" s="116" t="s">
        <v>9</v>
      </c>
      <c r="C344" s="106"/>
      <c r="D344" s="106"/>
      <c r="E344" s="106"/>
      <c r="F344" s="599"/>
      <c r="G344" s="99" t="s">
        <v>113</v>
      </c>
      <c r="H344" s="116" t="s">
        <v>83</v>
      </c>
      <c r="I344" s="106"/>
      <c r="J344" s="106"/>
      <c r="K344" s="106"/>
      <c r="L344" s="599"/>
    </row>
    <row r="345" spans="1:12" s="90" customFormat="1" ht="12.75" customHeight="1">
      <c r="A345" s="99" t="s">
        <v>113</v>
      </c>
      <c r="B345" s="116" t="s">
        <v>170</v>
      </c>
      <c r="C345" s="106"/>
      <c r="D345" s="106"/>
      <c r="E345" s="106"/>
      <c r="F345" s="599"/>
      <c r="G345" s="99" t="s">
        <v>114</v>
      </c>
      <c r="H345" s="116" t="s">
        <v>84</v>
      </c>
      <c r="I345" s="106"/>
      <c r="J345" s="106"/>
      <c r="K345" s="106"/>
      <c r="L345" s="599"/>
    </row>
    <row r="346" spans="1:12" s="90" customFormat="1" ht="12.75" customHeight="1">
      <c r="A346" s="99" t="s">
        <v>114</v>
      </c>
      <c r="B346" s="116" t="s">
        <v>181</v>
      </c>
      <c r="C346" s="106"/>
      <c r="D346" s="106"/>
      <c r="E346" s="106"/>
      <c r="F346" s="599"/>
      <c r="G346" s="99" t="s">
        <v>115</v>
      </c>
      <c r="H346" s="116" t="s">
        <v>211</v>
      </c>
      <c r="I346" s="106">
        <f>45000+809</f>
        <v>45809</v>
      </c>
      <c r="J346" s="106">
        <f>45000+809</f>
        <v>45809</v>
      </c>
      <c r="K346" s="106">
        <v>0</v>
      </c>
      <c r="L346" s="599">
        <f>+K346/J346+IF(L346=0/0,0%)</f>
        <v>0</v>
      </c>
    </row>
    <row r="347" spans="1:12" s="90" customFormat="1" ht="12.75" customHeight="1">
      <c r="A347" s="112" t="s">
        <v>45</v>
      </c>
      <c r="B347" s="100" t="s">
        <v>118</v>
      </c>
      <c r="C347" s="101"/>
      <c r="D347" s="101"/>
      <c r="E347" s="101"/>
      <c r="F347" s="102"/>
      <c r="G347" s="112" t="s">
        <v>45</v>
      </c>
      <c r="H347" s="100" t="s">
        <v>130</v>
      </c>
      <c r="I347" s="101"/>
      <c r="J347" s="101"/>
      <c r="K347" s="101"/>
      <c r="L347" s="102"/>
    </row>
    <row r="348" spans="1:12" s="90" customFormat="1" ht="12.75" customHeight="1">
      <c r="A348" s="112" t="s">
        <v>111</v>
      </c>
      <c r="B348" s="100" t="s">
        <v>106</v>
      </c>
      <c r="C348" s="106"/>
      <c r="D348" s="106"/>
      <c r="E348" s="106"/>
      <c r="F348" s="599"/>
      <c r="G348" s="112" t="s">
        <v>111</v>
      </c>
      <c r="H348" s="100" t="s">
        <v>131</v>
      </c>
      <c r="I348" s="106"/>
      <c r="J348" s="106"/>
      <c r="K348" s="106"/>
      <c r="L348" s="599"/>
    </row>
    <row r="349" spans="1:12" s="90" customFormat="1" ht="12.75" customHeight="1">
      <c r="A349" s="112" t="s">
        <v>112</v>
      </c>
      <c r="B349" s="100" t="s">
        <v>39</v>
      </c>
      <c r="C349" s="106"/>
      <c r="D349" s="106"/>
      <c r="E349" s="106"/>
      <c r="F349" s="599"/>
      <c r="G349" s="112" t="s">
        <v>112</v>
      </c>
      <c r="H349" s="100" t="s">
        <v>87</v>
      </c>
      <c r="I349" s="106"/>
      <c r="J349" s="106"/>
      <c r="K349" s="106"/>
      <c r="L349" s="599"/>
    </row>
    <row r="350" spans="1:12" s="90" customFormat="1" ht="12.75" customHeight="1">
      <c r="A350" s="112" t="s">
        <v>113</v>
      </c>
      <c r="B350" s="100" t="s">
        <v>201</v>
      </c>
      <c r="C350" s="106"/>
      <c r="D350" s="106"/>
      <c r="E350" s="106"/>
      <c r="F350" s="599"/>
      <c r="G350" s="112" t="s">
        <v>113</v>
      </c>
      <c r="H350" s="100" t="s">
        <v>90</v>
      </c>
      <c r="I350" s="106"/>
      <c r="J350" s="106"/>
      <c r="K350" s="106"/>
      <c r="L350" s="599"/>
    </row>
    <row r="351" spans="1:12" s="90" customFormat="1" ht="12.75" customHeight="1">
      <c r="A351" s="112" t="s">
        <v>56</v>
      </c>
      <c r="B351" s="100" t="s">
        <v>126</v>
      </c>
      <c r="C351" s="101">
        <v>45809</v>
      </c>
      <c r="D351" s="101">
        <v>45809</v>
      </c>
      <c r="E351" s="101">
        <v>45809</v>
      </c>
      <c r="F351" s="102">
        <f>+E351/D351</f>
        <v>1</v>
      </c>
      <c r="G351" s="112" t="s">
        <v>56</v>
      </c>
      <c r="H351" s="100" t="s">
        <v>132</v>
      </c>
      <c r="I351" s="101"/>
      <c r="J351" s="101"/>
      <c r="K351" s="101"/>
      <c r="L351" s="102"/>
    </row>
    <row r="352" spans="1:12" s="90" customFormat="1" ht="12.75" customHeight="1">
      <c r="A352" s="99" t="s">
        <v>64</v>
      </c>
      <c r="B352" s="116" t="s">
        <v>127</v>
      </c>
      <c r="C352" s="101"/>
      <c r="D352" s="101"/>
      <c r="E352" s="101"/>
      <c r="F352" s="102"/>
      <c r="G352" s="99" t="s">
        <v>64</v>
      </c>
      <c r="H352" s="116" t="s">
        <v>133</v>
      </c>
      <c r="I352" s="101"/>
      <c r="J352" s="101"/>
      <c r="K352" s="101"/>
      <c r="L352" s="102"/>
    </row>
    <row r="353" spans="1:12" s="124" customFormat="1" ht="12.75" customHeight="1" thickBot="1">
      <c r="A353" s="117"/>
      <c r="B353" s="118" t="s">
        <v>148</v>
      </c>
      <c r="C353" s="88">
        <f>+C341+C347+C351+C352</f>
        <v>45809</v>
      </c>
      <c r="D353" s="88">
        <f>+D341+D347+D351+D352</f>
        <v>45809</v>
      </c>
      <c r="E353" s="88">
        <f>+E341+E347+E351+E352</f>
        <v>45809</v>
      </c>
      <c r="F353" s="119">
        <f>+E353/D353</f>
        <v>1</v>
      </c>
      <c r="G353" s="117"/>
      <c r="H353" s="118" t="s">
        <v>149</v>
      </c>
      <c r="I353" s="88">
        <f>I341+I347+I351+I352</f>
        <v>45809</v>
      </c>
      <c r="J353" s="88">
        <f>J341+J347+J351+J352</f>
        <v>45809</v>
      </c>
      <c r="K353" s="88">
        <f>K341+K347+K351+K352</f>
        <v>0</v>
      </c>
      <c r="L353" s="119">
        <f>+K353/J353</f>
        <v>0</v>
      </c>
    </row>
    <row r="354" spans="1:12" s="126" customFormat="1" ht="12.75" customHeight="1">
      <c r="A354" s="124"/>
      <c r="B354" s="124"/>
      <c r="C354" s="93"/>
      <c r="D354" s="93"/>
      <c r="E354" s="93"/>
      <c r="F354" s="93"/>
      <c r="G354" s="124"/>
      <c r="H354" s="124"/>
      <c r="I354" s="93"/>
      <c r="J354" s="93"/>
      <c r="K354" s="93"/>
      <c r="L354" s="93"/>
    </row>
    <row r="355" spans="1:12" s="90" customFormat="1" ht="12.75" customHeight="1" thickBot="1">
      <c r="A355" s="90" t="s">
        <v>795</v>
      </c>
      <c r="B355" s="124"/>
      <c r="C355" s="93"/>
      <c r="D355" s="93"/>
      <c r="E355" s="93"/>
      <c r="F355" s="93"/>
      <c r="G355" s="124"/>
      <c r="H355" s="124"/>
      <c r="I355" s="595"/>
      <c r="J355" s="595"/>
      <c r="K355" s="93"/>
      <c r="L355" s="596" t="s">
        <v>216</v>
      </c>
    </row>
    <row r="356" spans="1:12" s="90" customFormat="1" ht="24.75" customHeight="1">
      <c r="A356" s="96"/>
      <c r="B356" s="97" t="s">
        <v>104</v>
      </c>
      <c r="C356" s="86" t="s">
        <v>227</v>
      </c>
      <c r="D356" s="86" t="s">
        <v>844</v>
      </c>
      <c r="E356" s="86" t="s">
        <v>303</v>
      </c>
      <c r="F356" s="87" t="s">
        <v>304</v>
      </c>
      <c r="G356" s="96">
        <v>38</v>
      </c>
      <c r="H356" s="97" t="s">
        <v>105</v>
      </c>
      <c r="I356" s="86" t="s">
        <v>227</v>
      </c>
      <c r="J356" s="86" t="s">
        <v>844</v>
      </c>
      <c r="K356" s="86" t="s">
        <v>303</v>
      </c>
      <c r="L356" s="87" t="s">
        <v>304</v>
      </c>
    </row>
    <row r="357" spans="1:12" s="90" customFormat="1" ht="12.75" customHeight="1">
      <c r="A357" s="99" t="s">
        <v>23</v>
      </c>
      <c r="B357" s="100" t="s">
        <v>108</v>
      </c>
      <c r="C357" s="101"/>
      <c r="D357" s="101"/>
      <c r="E357" s="101"/>
      <c r="F357" s="102"/>
      <c r="G357" s="99" t="s">
        <v>23</v>
      </c>
      <c r="H357" s="100" t="s">
        <v>129</v>
      </c>
      <c r="I357" s="101">
        <f>SUM(I358:I362)</f>
        <v>3114884</v>
      </c>
      <c r="J357" s="101">
        <f>SUM(J358:J362)</f>
        <v>3114884</v>
      </c>
      <c r="K357" s="101">
        <f>SUM(K358:K362)</f>
        <v>0</v>
      </c>
      <c r="L357" s="102">
        <f>+K357/J357+IF(L357=0/0,0%)</f>
        <v>0</v>
      </c>
    </row>
    <row r="358" spans="1:12" s="90" customFormat="1" ht="12.75" customHeight="1">
      <c r="A358" s="99" t="s">
        <v>111</v>
      </c>
      <c r="B358" s="116" t="s">
        <v>209</v>
      </c>
      <c r="C358" s="106"/>
      <c r="D358" s="106"/>
      <c r="E358" s="106"/>
      <c r="F358" s="599"/>
      <c r="G358" s="99" t="s">
        <v>111</v>
      </c>
      <c r="H358" s="116" t="s">
        <v>80</v>
      </c>
      <c r="I358" s="106">
        <v>2563362</v>
      </c>
      <c r="J358" s="106">
        <v>2563362</v>
      </c>
      <c r="K358" s="106">
        <v>0</v>
      </c>
      <c r="L358" s="599">
        <f>+K358/J358+IF(L358=0/0,0%)</f>
        <v>0</v>
      </c>
    </row>
    <row r="359" spans="1:12" s="90" customFormat="1" ht="12.75" customHeight="1">
      <c r="A359" s="99"/>
      <c r="B359" s="116" t="s">
        <v>210</v>
      </c>
      <c r="C359" s="106"/>
      <c r="D359" s="106"/>
      <c r="E359" s="106"/>
      <c r="F359" s="599"/>
      <c r="G359" s="99" t="s">
        <v>112</v>
      </c>
      <c r="H359" s="116" t="s">
        <v>147</v>
      </c>
      <c r="I359" s="106">
        <v>499856</v>
      </c>
      <c r="J359" s="106">
        <v>499856</v>
      </c>
      <c r="K359" s="106">
        <v>0</v>
      </c>
      <c r="L359" s="599">
        <f>+K359/J359+IF(L359=0/0,0%)</f>
        <v>0</v>
      </c>
    </row>
    <row r="360" spans="1:12" s="90" customFormat="1" ht="12.75" customHeight="1">
      <c r="A360" s="99" t="s">
        <v>112</v>
      </c>
      <c r="B360" s="116" t="s">
        <v>9</v>
      </c>
      <c r="C360" s="106"/>
      <c r="D360" s="106"/>
      <c r="E360" s="106"/>
      <c r="F360" s="599"/>
      <c r="G360" s="99" t="s">
        <v>113</v>
      </c>
      <c r="H360" s="116" t="s">
        <v>83</v>
      </c>
      <c r="I360" s="106">
        <f>437492-4826-381000</f>
        <v>51666</v>
      </c>
      <c r="J360" s="106">
        <f>437492-4826-381000</f>
        <v>51666</v>
      </c>
      <c r="K360" s="106">
        <v>0</v>
      </c>
      <c r="L360" s="599">
        <f>+K360/J360+IF(L360=0/0,0%)</f>
        <v>0</v>
      </c>
    </row>
    <row r="361" spans="1:12" s="90" customFormat="1" ht="12.75" customHeight="1">
      <c r="A361" s="99" t="s">
        <v>113</v>
      </c>
      <c r="B361" s="116" t="s">
        <v>170</v>
      </c>
      <c r="C361" s="106"/>
      <c r="D361" s="106"/>
      <c r="E361" s="106"/>
      <c r="F361" s="599"/>
      <c r="G361" s="99" t="s">
        <v>114</v>
      </c>
      <c r="H361" s="116" t="s">
        <v>84</v>
      </c>
      <c r="I361" s="106"/>
      <c r="J361" s="106"/>
      <c r="K361" s="106"/>
      <c r="L361" s="599"/>
    </row>
    <row r="362" spans="1:12" s="90" customFormat="1" ht="12.75" customHeight="1">
      <c r="A362" s="99" t="s">
        <v>114</v>
      </c>
      <c r="B362" s="116" t="s">
        <v>181</v>
      </c>
      <c r="C362" s="106"/>
      <c r="D362" s="106"/>
      <c r="E362" s="106"/>
      <c r="F362" s="599"/>
      <c r="G362" s="99" t="s">
        <v>115</v>
      </c>
      <c r="H362" s="116" t="s">
        <v>211</v>
      </c>
      <c r="I362" s="106"/>
      <c r="J362" s="106"/>
      <c r="K362" s="106"/>
      <c r="L362" s="599"/>
    </row>
    <row r="363" spans="1:12" s="90" customFormat="1" ht="12.75" customHeight="1">
      <c r="A363" s="112" t="s">
        <v>45</v>
      </c>
      <c r="B363" s="100" t="s">
        <v>118</v>
      </c>
      <c r="C363" s="101"/>
      <c r="D363" s="101"/>
      <c r="E363" s="101"/>
      <c r="F363" s="102"/>
      <c r="G363" s="112" t="s">
        <v>45</v>
      </c>
      <c r="H363" s="100" t="s">
        <v>130</v>
      </c>
      <c r="I363" s="101"/>
      <c r="J363" s="101"/>
      <c r="K363" s="101"/>
      <c r="L363" s="102"/>
    </row>
    <row r="364" spans="1:12" s="90" customFormat="1" ht="12.75" customHeight="1">
      <c r="A364" s="112" t="s">
        <v>111</v>
      </c>
      <c r="B364" s="100" t="s">
        <v>106</v>
      </c>
      <c r="C364" s="106"/>
      <c r="D364" s="106"/>
      <c r="E364" s="106"/>
      <c r="F364" s="599"/>
      <c r="G364" s="112" t="s">
        <v>111</v>
      </c>
      <c r="H364" s="100" t="s">
        <v>131</v>
      </c>
      <c r="I364" s="106"/>
      <c r="J364" s="106"/>
      <c r="K364" s="106"/>
      <c r="L364" s="599"/>
    </row>
    <row r="365" spans="1:12" s="90" customFormat="1" ht="12.75" customHeight="1">
      <c r="A365" s="112" t="s">
        <v>112</v>
      </c>
      <c r="B365" s="100" t="s">
        <v>39</v>
      </c>
      <c r="C365" s="106"/>
      <c r="D365" s="106"/>
      <c r="E365" s="106"/>
      <c r="F365" s="599"/>
      <c r="G365" s="112" t="s">
        <v>112</v>
      </c>
      <c r="H365" s="100" t="s">
        <v>87</v>
      </c>
      <c r="I365" s="106"/>
      <c r="J365" s="106"/>
      <c r="K365" s="106"/>
      <c r="L365" s="599"/>
    </row>
    <row r="366" spans="1:12" s="90" customFormat="1" ht="12.75" customHeight="1">
      <c r="A366" s="112" t="s">
        <v>113</v>
      </c>
      <c r="B366" s="100" t="s">
        <v>201</v>
      </c>
      <c r="C366" s="106"/>
      <c r="D366" s="106"/>
      <c r="E366" s="106"/>
      <c r="F366" s="599"/>
      <c r="G366" s="112" t="s">
        <v>113</v>
      </c>
      <c r="H366" s="100" t="s">
        <v>90</v>
      </c>
      <c r="I366" s="106"/>
      <c r="J366" s="106"/>
      <c r="K366" s="106"/>
      <c r="L366" s="599"/>
    </row>
    <row r="367" spans="1:12" s="90" customFormat="1" ht="12.75" customHeight="1">
      <c r="A367" s="112" t="s">
        <v>56</v>
      </c>
      <c r="B367" s="100" t="s">
        <v>126</v>
      </c>
      <c r="C367" s="101">
        <v>3114884</v>
      </c>
      <c r="D367" s="101">
        <v>3114884</v>
      </c>
      <c r="E367" s="101">
        <v>3114884</v>
      </c>
      <c r="F367" s="102">
        <v>1</v>
      </c>
      <c r="G367" s="112" t="s">
        <v>56</v>
      </c>
      <c r="H367" s="100" t="s">
        <v>132</v>
      </c>
      <c r="I367" s="101"/>
      <c r="J367" s="101"/>
      <c r="K367" s="101"/>
      <c r="L367" s="102"/>
    </row>
    <row r="368" spans="1:12" s="90" customFormat="1" ht="12.75" customHeight="1">
      <c r="A368" s="99" t="s">
        <v>64</v>
      </c>
      <c r="B368" s="116" t="s">
        <v>127</v>
      </c>
      <c r="C368" s="101"/>
      <c r="D368" s="101"/>
      <c r="E368" s="101"/>
      <c r="F368" s="102"/>
      <c r="G368" s="99" t="s">
        <v>64</v>
      </c>
      <c r="H368" s="116" t="s">
        <v>133</v>
      </c>
      <c r="I368" s="101"/>
      <c r="J368" s="101"/>
      <c r="K368" s="101"/>
      <c r="L368" s="102"/>
    </row>
    <row r="369" spans="1:12" s="124" customFormat="1" ht="12.75" customHeight="1" thickBot="1">
      <c r="A369" s="117"/>
      <c r="B369" s="118" t="s">
        <v>148</v>
      </c>
      <c r="C369" s="88">
        <f>+C357+C363+C367+C368</f>
        <v>3114884</v>
      </c>
      <c r="D369" s="88">
        <f>+D357+D363+D367+D368</f>
        <v>3114884</v>
      </c>
      <c r="E369" s="88">
        <f>+E357+E363+E367+E368</f>
        <v>3114884</v>
      </c>
      <c r="F369" s="119">
        <f>+E369/D369</f>
        <v>1</v>
      </c>
      <c r="G369" s="117"/>
      <c r="H369" s="118" t="s">
        <v>149</v>
      </c>
      <c r="I369" s="88">
        <f>I357+I363+I367+I368</f>
        <v>3114884</v>
      </c>
      <c r="J369" s="88">
        <f>J357+J363+J367+J368</f>
        <v>3114884</v>
      </c>
      <c r="K369" s="88">
        <f>K357+K363+K367+K368</f>
        <v>0</v>
      </c>
      <c r="L369" s="119">
        <f>+K369/J369+IF(L369=0/0,0%)</f>
        <v>0</v>
      </c>
    </row>
    <row r="370" spans="1:12" s="126" customFormat="1" ht="12.75" customHeight="1">
      <c r="A370" s="124"/>
      <c r="B370" s="124"/>
      <c r="C370" s="93"/>
      <c r="D370" s="93"/>
      <c r="E370" s="93"/>
      <c r="F370" s="93"/>
      <c r="G370" s="124"/>
      <c r="H370" s="124"/>
      <c r="I370" s="93"/>
      <c r="J370" s="93"/>
      <c r="K370" s="93"/>
      <c r="L370" s="93"/>
    </row>
    <row r="371" spans="1:12" s="90" customFormat="1" ht="12.75" customHeight="1" thickBot="1">
      <c r="A371" s="90" t="s">
        <v>796</v>
      </c>
      <c r="B371" s="124"/>
      <c r="C371" s="93"/>
      <c r="D371" s="93"/>
      <c r="E371" s="93"/>
      <c r="F371" s="93"/>
      <c r="G371" s="124"/>
      <c r="H371" s="124"/>
      <c r="I371" s="595"/>
      <c r="J371" s="595"/>
      <c r="K371" s="93"/>
      <c r="L371" s="596" t="s">
        <v>216</v>
      </c>
    </row>
    <row r="372" spans="1:12" s="90" customFormat="1" ht="24.75" customHeight="1">
      <c r="A372" s="96"/>
      <c r="B372" s="97" t="s">
        <v>104</v>
      </c>
      <c r="C372" s="86" t="s">
        <v>227</v>
      </c>
      <c r="D372" s="86" t="s">
        <v>844</v>
      </c>
      <c r="E372" s="86" t="s">
        <v>303</v>
      </c>
      <c r="F372" s="87" t="s">
        <v>304</v>
      </c>
      <c r="G372" s="96">
        <v>39</v>
      </c>
      <c r="H372" s="97" t="s">
        <v>105</v>
      </c>
      <c r="I372" s="86" t="s">
        <v>227</v>
      </c>
      <c r="J372" s="86" t="s">
        <v>844</v>
      </c>
      <c r="K372" s="86" t="s">
        <v>303</v>
      </c>
      <c r="L372" s="87" t="s">
        <v>304</v>
      </c>
    </row>
    <row r="373" spans="1:12" s="90" customFormat="1" ht="12.75" customHeight="1">
      <c r="A373" s="99" t="s">
        <v>23</v>
      </c>
      <c r="B373" s="100" t="s">
        <v>108</v>
      </c>
      <c r="C373" s="101"/>
      <c r="D373" s="101"/>
      <c r="E373" s="101"/>
      <c r="F373" s="102"/>
      <c r="G373" s="99" t="s">
        <v>23</v>
      </c>
      <c r="H373" s="100" t="s">
        <v>129</v>
      </c>
      <c r="I373" s="101">
        <f>SUM(I374:I378)</f>
        <v>608206</v>
      </c>
      <c r="J373" s="101">
        <f>SUM(J374:J378)</f>
        <v>608206</v>
      </c>
      <c r="K373" s="101">
        <f>SUM(K374:K378)</f>
        <v>492821</v>
      </c>
      <c r="L373" s="102">
        <f>+K373/J373</f>
        <v>0.8102863174648063</v>
      </c>
    </row>
    <row r="374" spans="1:12" s="90" customFormat="1" ht="12.75" customHeight="1">
      <c r="A374" s="99" t="s">
        <v>111</v>
      </c>
      <c r="B374" s="116" t="s">
        <v>209</v>
      </c>
      <c r="C374" s="106"/>
      <c r="D374" s="106"/>
      <c r="E374" s="106"/>
      <c r="F374" s="599"/>
      <c r="G374" s="99" t="s">
        <v>111</v>
      </c>
      <c r="H374" s="116" t="s">
        <v>80</v>
      </c>
      <c r="I374" s="106">
        <v>447859</v>
      </c>
      <c r="J374" s="106">
        <v>447859</v>
      </c>
      <c r="K374" s="106">
        <v>421423</v>
      </c>
      <c r="L374" s="599">
        <f>+K374/J374</f>
        <v>0.9409724935749868</v>
      </c>
    </row>
    <row r="375" spans="1:12" s="90" customFormat="1" ht="12.75" customHeight="1">
      <c r="A375" s="99"/>
      <c r="B375" s="116" t="s">
        <v>210</v>
      </c>
      <c r="C375" s="106"/>
      <c r="D375" s="106"/>
      <c r="E375" s="106"/>
      <c r="F375" s="599"/>
      <c r="G375" s="99" t="s">
        <v>112</v>
      </c>
      <c r="H375" s="116" t="s">
        <v>147</v>
      </c>
      <c r="I375" s="106">
        <v>108681</v>
      </c>
      <c r="J375" s="106">
        <v>108681</v>
      </c>
      <c r="K375" s="106">
        <v>71398</v>
      </c>
      <c r="L375" s="599">
        <f>+K375/J375</f>
        <v>0.6569501568811476</v>
      </c>
    </row>
    <row r="376" spans="1:12" s="90" customFormat="1" ht="12.75" customHeight="1">
      <c r="A376" s="99" t="s">
        <v>112</v>
      </c>
      <c r="B376" s="116" t="s">
        <v>9</v>
      </c>
      <c r="C376" s="106"/>
      <c r="D376" s="106"/>
      <c r="E376" s="106"/>
      <c r="F376" s="599"/>
      <c r="G376" s="99" t="s">
        <v>113</v>
      </c>
      <c r="H376" s="116" t="s">
        <v>83</v>
      </c>
      <c r="I376" s="106">
        <f>340000+92666-381000</f>
        <v>51666</v>
      </c>
      <c r="J376" s="106">
        <f>340000+92666-381000</f>
        <v>51666</v>
      </c>
      <c r="K376" s="106">
        <v>0</v>
      </c>
      <c r="L376" s="599">
        <f>+K376/J376</f>
        <v>0</v>
      </c>
    </row>
    <row r="377" spans="1:12" s="90" customFormat="1" ht="12.75" customHeight="1">
      <c r="A377" s="99" t="s">
        <v>113</v>
      </c>
      <c r="B377" s="116" t="s">
        <v>170</v>
      </c>
      <c r="C377" s="106"/>
      <c r="D377" s="106"/>
      <c r="E377" s="106"/>
      <c r="F377" s="599"/>
      <c r="G377" s="99" t="s">
        <v>114</v>
      </c>
      <c r="H377" s="116" t="s">
        <v>84</v>
      </c>
      <c r="I377" s="106"/>
      <c r="J377" s="106"/>
      <c r="K377" s="106"/>
      <c r="L377" s="599"/>
    </row>
    <row r="378" spans="1:12" s="90" customFormat="1" ht="12.75" customHeight="1">
      <c r="A378" s="99" t="s">
        <v>114</v>
      </c>
      <c r="B378" s="116" t="s">
        <v>181</v>
      </c>
      <c r="C378" s="106"/>
      <c r="D378" s="106"/>
      <c r="E378" s="106"/>
      <c r="F378" s="599"/>
      <c r="G378" s="99" t="s">
        <v>115</v>
      </c>
      <c r="H378" s="116" t="s">
        <v>211</v>
      </c>
      <c r="I378" s="106"/>
      <c r="J378" s="106"/>
      <c r="K378" s="106"/>
      <c r="L378" s="599"/>
    </row>
    <row r="379" spans="1:12" s="90" customFormat="1" ht="12.75" customHeight="1">
      <c r="A379" s="112" t="s">
        <v>45</v>
      </c>
      <c r="B379" s="100" t="s">
        <v>118</v>
      </c>
      <c r="C379" s="101"/>
      <c r="D379" s="101"/>
      <c r="E379" s="101"/>
      <c r="F379" s="102"/>
      <c r="G379" s="112" t="s">
        <v>45</v>
      </c>
      <c r="H379" s="100" t="s">
        <v>130</v>
      </c>
      <c r="I379" s="101"/>
      <c r="J379" s="101"/>
      <c r="K379" s="101"/>
      <c r="L379" s="102"/>
    </row>
    <row r="380" spans="1:12" s="90" customFormat="1" ht="12.75" customHeight="1">
      <c r="A380" s="112" t="s">
        <v>111</v>
      </c>
      <c r="B380" s="100" t="s">
        <v>106</v>
      </c>
      <c r="C380" s="106"/>
      <c r="D380" s="106"/>
      <c r="E380" s="106"/>
      <c r="F380" s="599"/>
      <c r="G380" s="112" t="s">
        <v>111</v>
      </c>
      <c r="H380" s="100" t="s">
        <v>131</v>
      </c>
      <c r="I380" s="106"/>
      <c r="J380" s="106"/>
      <c r="K380" s="106"/>
      <c r="L380" s="599"/>
    </row>
    <row r="381" spans="1:12" s="90" customFormat="1" ht="12.75" customHeight="1">
      <c r="A381" s="112" t="s">
        <v>112</v>
      </c>
      <c r="B381" s="100" t="s">
        <v>39</v>
      </c>
      <c r="C381" s="106"/>
      <c r="D381" s="106"/>
      <c r="E381" s="106"/>
      <c r="F381" s="599"/>
      <c r="G381" s="112" t="s">
        <v>112</v>
      </c>
      <c r="H381" s="100" t="s">
        <v>87</v>
      </c>
      <c r="I381" s="106"/>
      <c r="J381" s="106"/>
      <c r="K381" s="106"/>
      <c r="L381" s="599"/>
    </row>
    <row r="382" spans="1:12" s="90" customFormat="1" ht="12.75" customHeight="1">
      <c r="A382" s="112" t="s">
        <v>113</v>
      </c>
      <c r="B382" s="100" t="s">
        <v>201</v>
      </c>
      <c r="C382" s="106"/>
      <c r="D382" s="106"/>
      <c r="E382" s="106"/>
      <c r="F382" s="599"/>
      <c r="G382" s="112" t="s">
        <v>113</v>
      </c>
      <c r="H382" s="100" t="s">
        <v>90</v>
      </c>
      <c r="I382" s="106"/>
      <c r="J382" s="106"/>
      <c r="K382" s="106"/>
      <c r="L382" s="599"/>
    </row>
    <row r="383" spans="1:12" s="90" customFormat="1" ht="12.75" customHeight="1">
      <c r="A383" s="112" t="s">
        <v>56</v>
      </c>
      <c r="B383" s="100" t="s">
        <v>126</v>
      </c>
      <c r="C383" s="101">
        <v>608206</v>
      </c>
      <c r="D383" s="101">
        <v>608206</v>
      </c>
      <c r="E383" s="101">
        <v>60826</v>
      </c>
      <c r="F383" s="102">
        <f>E383/D383</f>
        <v>0.10000887857074742</v>
      </c>
      <c r="G383" s="112" t="s">
        <v>56</v>
      </c>
      <c r="H383" s="100" t="s">
        <v>132</v>
      </c>
      <c r="I383" s="101"/>
      <c r="J383" s="101"/>
      <c r="K383" s="101"/>
      <c r="L383" s="102"/>
    </row>
    <row r="384" spans="1:12" s="90" customFormat="1" ht="12.75" customHeight="1">
      <c r="A384" s="99" t="s">
        <v>64</v>
      </c>
      <c r="B384" s="116" t="s">
        <v>127</v>
      </c>
      <c r="C384" s="101"/>
      <c r="D384" s="101"/>
      <c r="E384" s="101"/>
      <c r="F384" s="102"/>
      <c r="G384" s="99" t="s">
        <v>64</v>
      </c>
      <c r="H384" s="116" t="s">
        <v>133</v>
      </c>
      <c r="I384" s="101"/>
      <c r="J384" s="101"/>
      <c r="K384" s="101"/>
      <c r="L384" s="102"/>
    </row>
    <row r="385" spans="1:12" s="124" customFormat="1" ht="12.75" customHeight="1" thickBot="1">
      <c r="A385" s="117"/>
      <c r="B385" s="118" t="s">
        <v>148</v>
      </c>
      <c r="C385" s="88">
        <f>+C373+C379+C383+C384</f>
        <v>608206</v>
      </c>
      <c r="D385" s="88">
        <f>+D373+D379+D383+D384</f>
        <v>608206</v>
      </c>
      <c r="E385" s="88">
        <f>+E373+E379+E383+E384</f>
        <v>60826</v>
      </c>
      <c r="F385" s="119">
        <f>+E385/D385</f>
        <v>0.10000887857074742</v>
      </c>
      <c r="G385" s="117"/>
      <c r="H385" s="118" t="s">
        <v>149</v>
      </c>
      <c r="I385" s="88">
        <f>+I384+I383+I379+I373</f>
        <v>608206</v>
      </c>
      <c r="J385" s="88">
        <f>+J384+J383+J379+J373</f>
        <v>608206</v>
      </c>
      <c r="K385" s="88">
        <f>K373</f>
        <v>492821</v>
      </c>
      <c r="L385" s="119">
        <f>+K385/J385</f>
        <v>0.8102863174648063</v>
      </c>
    </row>
    <row r="386" spans="1:12" s="126" customFormat="1" ht="12.75" customHeight="1">
      <c r="A386" s="124"/>
      <c r="B386" s="124"/>
      <c r="C386" s="93"/>
      <c r="D386" s="93"/>
      <c r="E386" s="93"/>
      <c r="F386" s="93"/>
      <c r="G386" s="124"/>
      <c r="H386" s="124"/>
      <c r="I386" s="93"/>
      <c r="J386" s="93"/>
      <c r="K386" s="93"/>
      <c r="L386" s="93"/>
    </row>
    <row r="387" spans="1:12" s="90" customFormat="1" ht="12.75" customHeight="1" thickBot="1">
      <c r="A387" s="90" t="s">
        <v>797</v>
      </c>
      <c r="B387" s="124"/>
      <c r="C387" s="93"/>
      <c r="D387" s="93"/>
      <c r="E387" s="93"/>
      <c r="F387" s="93"/>
      <c r="G387" s="124"/>
      <c r="H387" s="124"/>
      <c r="I387" s="595"/>
      <c r="J387" s="595"/>
      <c r="K387" s="93"/>
      <c r="L387" s="596" t="s">
        <v>216</v>
      </c>
    </row>
    <row r="388" spans="1:12" s="90" customFormat="1" ht="24.75" customHeight="1">
      <c r="A388" s="96"/>
      <c r="B388" s="97" t="s">
        <v>104</v>
      </c>
      <c r="C388" s="86" t="s">
        <v>227</v>
      </c>
      <c r="D388" s="86" t="s">
        <v>844</v>
      </c>
      <c r="E388" s="86" t="s">
        <v>303</v>
      </c>
      <c r="F388" s="87" t="s">
        <v>304</v>
      </c>
      <c r="G388" s="96">
        <v>40</v>
      </c>
      <c r="H388" s="97" t="s">
        <v>105</v>
      </c>
      <c r="I388" s="86" t="s">
        <v>227</v>
      </c>
      <c r="J388" s="86" t="s">
        <v>844</v>
      </c>
      <c r="K388" s="86" t="s">
        <v>303</v>
      </c>
      <c r="L388" s="87" t="s">
        <v>304</v>
      </c>
    </row>
    <row r="389" spans="1:12" s="90" customFormat="1" ht="12.75" customHeight="1">
      <c r="A389" s="99" t="s">
        <v>23</v>
      </c>
      <c r="B389" s="100" t="s">
        <v>108</v>
      </c>
      <c r="C389" s="101"/>
      <c r="D389" s="101"/>
      <c r="E389" s="101"/>
      <c r="F389" s="102"/>
      <c r="G389" s="99" t="s">
        <v>23</v>
      </c>
      <c r="H389" s="100" t="s">
        <v>129</v>
      </c>
      <c r="I389" s="101">
        <f>SUM(I390:I394)</f>
        <v>2469093</v>
      </c>
      <c r="J389" s="101">
        <f>SUM(J390:J394)</f>
        <v>2469093</v>
      </c>
      <c r="K389" s="101">
        <f>SUM(K390:K394)</f>
        <v>2273652</v>
      </c>
      <c r="L389" s="102">
        <f>+K389/J389</f>
        <v>0.920845022848471</v>
      </c>
    </row>
    <row r="390" spans="1:12" s="90" customFormat="1" ht="12.75" customHeight="1">
      <c r="A390" s="99" t="s">
        <v>111</v>
      </c>
      <c r="B390" s="116" t="s">
        <v>209</v>
      </c>
      <c r="C390" s="106"/>
      <c r="D390" s="106"/>
      <c r="E390" s="106"/>
      <c r="F390" s="599"/>
      <c r="G390" s="99" t="s">
        <v>111</v>
      </c>
      <c r="H390" s="116" t="s">
        <v>80</v>
      </c>
      <c r="I390" s="106">
        <v>1975244</v>
      </c>
      <c r="J390" s="106">
        <v>1975244</v>
      </c>
      <c r="K390" s="106">
        <v>1942662</v>
      </c>
      <c r="L390" s="599">
        <f>+K390/J390</f>
        <v>0.9835048226953227</v>
      </c>
    </row>
    <row r="391" spans="1:12" s="90" customFormat="1" ht="12.75" customHeight="1">
      <c r="A391" s="99"/>
      <c r="B391" s="116" t="s">
        <v>210</v>
      </c>
      <c r="C391" s="106"/>
      <c r="D391" s="106"/>
      <c r="E391" s="106"/>
      <c r="F391" s="599"/>
      <c r="G391" s="99" t="s">
        <v>112</v>
      </c>
      <c r="H391" s="116" t="s">
        <v>147</v>
      </c>
      <c r="I391" s="106">
        <v>336040</v>
      </c>
      <c r="J391" s="106">
        <v>336040</v>
      </c>
      <c r="K391" s="106">
        <v>330990</v>
      </c>
      <c r="L391" s="599">
        <f>+K391/J391</f>
        <v>0.9849720271396263</v>
      </c>
    </row>
    <row r="392" spans="1:12" s="90" customFormat="1" ht="12.75" customHeight="1">
      <c r="A392" s="99" t="s">
        <v>112</v>
      </c>
      <c r="B392" s="116" t="s">
        <v>9</v>
      </c>
      <c r="C392" s="106"/>
      <c r="D392" s="106"/>
      <c r="E392" s="106"/>
      <c r="F392" s="599"/>
      <c r="G392" s="99" t="s">
        <v>113</v>
      </c>
      <c r="H392" s="116" t="s">
        <v>83</v>
      </c>
      <c r="I392" s="106">
        <f>33547+124262</f>
        <v>157809</v>
      </c>
      <c r="J392" s="106">
        <f>33547+124262</f>
        <v>157809</v>
      </c>
      <c r="K392" s="106">
        <v>0</v>
      </c>
      <c r="L392" s="599">
        <f>+K392/J392</f>
        <v>0</v>
      </c>
    </row>
    <row r="393" spans="1:12" s="90" customFormat="1" ht="12.75" customHeight="1">
      <c r="A393" s="99" t="s">
        <v>113</v>
      </c>
      <c r="B393" s="116" t="s">
        <v>170</v>
      </c>
      <c r="C393" s="106"/>
      <c r="D393" s="106"/>
      <c r="E393" s="106"/>
      <c r="F393" s="599"/>
      <c r="G393" s="99" t="s">
        <v>114</v>
      </c>
      <c r="H393" s="116" t="s">
        <v>84</v>
      </c>
      <c r="I393" s="106"/>
      <c r="J393" s="106"/>
      <c r="K393" s="106"/>
      <c r="L393" s="599"/>
    </row>
    <row r="394" spans="1:12" s="90" customFormat="1" ht="12.75" customHeight="1">
      <c r="A394" s="99" t="s">
        <v>114</v>
      </c>
      <c r="B394" s="116" t="s">
        <v>181</v>
      </c>
      <c r="C394" s="106"/>
      <c r="D394" s="106"/>
      <c r="E394" s="106"/>
      <c r="F394" s="599"/>
      <c r="G394" s="99" t="s">
        <v>115</v>
      </c>
      <c r="H394" s="116" t="s">
        <v>211</v>
      </c>
      <c r="I394" s="106"/>
      <c r="J394" s="106"/>
      <c r="K394" s="106"/>
      <c r="L394" s="599"/>
    </row>
    <row r="395" spans="1:12" s="90" customFormat="1" ht="12.75" customHeight="1">
      <c r="A395" s="112" t="s">
        <v>45</v>
      </c>
      <c r="B395" s="100" t="s">
        <v>118</v>
      </c>
      <c r="C395" s="101"/>
      <c r="D395" s="101"/>
      <c r="E395" s="101"/>
      <c r="F395" s="102"/>
      <c r="G395" s="112" t="s">
        <v>45</v>
      </c>
      <c r="H395" s="100" t="s">
        <v>130</v>
      </c>
      <c r="I395" s="101"/>
      <c r="J395" s="101"/>
      <c r="K395" s="101"/>
      <c r="L395" s="102"/>
    </row>
    <row r="396" spans="1:12" s="90" customFormat="1" ht="12.75" customHeight="1">
      <c r="A396" s="112" t="s">
        <v>111</v>
      </c>
      <c r="B396" s="100" t="s">
        <v>106</v>
      </c>
      <c r="C396" s="106"/>
      <c r="D396" s="106"/>
      <c r="E396" s="106"/>
      <c r="F396" s="599"/>
      <c r="G396" s="112" t="s">
        <v>111</v>
      </c>
      <c r="H396" s="100" t="s">
        <v>131</v>
      </c>
      <c r="I396" s="106"/>
      <c r="J396" s="106"/>
      <c r="K396" s="106"/>
      <c r="L396" s="599"/>
    </row>
    <row r="397" spans="1:12" s="90" customFormat="1" ht="12.75" customHeight="1">
      <c r="A397" s="112" t="s">
        <v>112</v>
      </c>
      <c r="B397" s="100" t="s">
        <v>39</v>
      </c>
      <c r="C397" s="106"/>
      <c r="D397" s="106"/>
      <c r="E397" s="106"/>
      <c r="F397" s="599"/>
      <c r="G397" s="112" t="s">
        <v>112</v>
      </c>
      <c r="H397" s="100" t="s">
        <v>87</v>
      </c>
      <c r="I397" s="106"/>
      <c r="J397" s="106"/>
      <c r="K397" s="106"/>
      <c r="L397" s="599"/>
    </row>
    <row r="398" spans="1:12" s="90" customFormat="1" ht="12.75" customHeight="1">
      <c r="A398" s="112" t="s">
        <v>113</v>
      </c>
      <c r="B398" s="100" t="s">
        <v>201</v>
      </c>
      <c r="C398" s="106"/>
      <c r="D398" s="106"/>
      <c r="E398" s="106"/>
      <c r="F398" s="599"/>
      <c r="G398" s="112" t="s">
        <v>113</v>
      </c>
      <c r="H398" s="100" t="s">
        <v>90</v>
      </c>
      <c r="I398" s="106"/>
      <c r="J398" s="106"/>
      <c r="K398" s="106"/>
      <c r="L398" s="599"/>
    </row>
    <row r="399" spans="1:12" s="90" customFormat="1" ht="12.75" customHeight="1">
      <c r="A399" s="112" t="s">
        <v>56</v>
      </c>
      <c r="B399" s="100" t="s">
        <v>126</v>
      </c>
      <c r="C399" s="101">
        <v>2469093</v>
      </c>
      <c r="D399" s="101">
        <v>2469093</v>
      </c>
      <c r="E399" s="101">
        <v>2469093</v>
      </c>
      <c r="F399" s="102">
        <f>+E399/D399</f>
        <v>1</v>
      </c>
      <c r="G399" s="112" t="s">
        <v>56</v>
      </c>
      <c r="H399" s="100" t="s">
        <v>132</v>
      </c>
      <c r="I399" s="101"/>
      <c r="J399" s="101"/>
      <c r="K399" s="101"/>
      <c r="L399" s="102"/>
    </row>
    <row r="400" spans="1:12" s="90" customFormat="1" ht="12.75" customHeight="1">
      <c r="A400" s="99" t="s">
        <v>64</v>
      </c>
      <c r="B400" s="116" t="s">
        <v>127</v>
      </c>
      <c r="C400" s="101"/>
      <c r="D400" s="101"/>
      <c r="E400" s="101"/>
      <c r="F400" s="102"/>
      <c r="G400" s="99" t="s">
        <v>64</v>
      </c>
      <c r="H400" s="116" t="s">
        <v>133</v>
      </c>
      <c r="I400" s="101"/>
      <c r="J400" s="101"/>
      <c r="K400" s="101"/>
      <c r="L400" s="102"/>
    </row>
    <row r="401" spans="1:12" s="124" customFormat="1" ht="12.75" customHeight="1" thickBot="1">
      <c r="A401" s="117"/>
      <c r="B401" s="118" t="s">
        <v>148</v>
      </c>
      <c r="C401" s="88">
        <f>+C389+C395+C399+C400</f>
        <v>2469093</v>
      </c>
      <c r="D401" s="88">
        <f>+D389+D395+D399+D400</f>
        <v>2469093</v>
      </c>
      <c r="E401" s="88">
        <f>+E389+E395+E399+E400</f>
        <v>2469093</v>
      </c>
      <c r="F401" s="119">
        <f>+E401/D401</f>
        <v>1</v>
      </c>
      <c r="G401" s="117"/>
      <c r="H401" s="118" t="s">
        <v>149</v>
      </c>
      <c r="I401" s="88">
        <f>I389+I395+I399+I400</f>
        <v>2469093</v>
      </c>
      <c r="J401" s="88">
        <f>J389+J395+J399+J400</f>
        <v>2469093</v>
      </c>
      <c r="K401" s="88">
        <f>K389+K395+K399+K400</f>
        <v>2273652</v>
      </c>
      <c r="L401" s="119">
        <f>+K401/J401</f>
        <v>0.920845022848471</v>
      </c>
    </row>
    <row r="402" spans="1:12" s="126" customFormat="1" ht="15">
      <c r="A402" s="124"/>
      <c r="B402" s="124"/>
      <c r="C402" s="93"/>
      <c r="D402" s="93"/>
      <c r="E402" s="595"/>
      <c r="F402" s="595"/>
      <c r="G402" s="124"/>
      <c r="H402" s="124"/>
      <c r="I402" s="93"/>
      <c r="J402" s="93"/>
      <c r="K402" s="595"/>
      <c r="L402" s="595"/>
    </row>
    <row r="403" spans="1:12" s="90" customFormat="1" ht="12.75" customHeight="1" thickBot="1">
      <c r="A403" s="90" t="s">
        <v>798</v>
      </c>
      <c r="B403" s="124"/>
      <c r="C403" s="93"/>
      <c r="D403" s="93"/>
      <c r="E403" s="93"/>
      <c r="F403" s="93"/>
      <c r="G403" s="124"/>
      <c r="H403" s="124"/>
      <c r="I403" s="595"/>
      <c r="J403" s="595"/>
      <c r="K403" s="93"/>
      <c r="L403" s="596" t="s">
        <v>216</v>
      </c>
    </row>
    <row r="404" spans="1:12" s="90" customFormat="1" ht="24.75" customHeight="1">
      <c r="A404" s="96"/>
      <c r="B404" s="97" t="s">
        <v>104</v>
      </c>
      <c r="C404" s="86" t="s">
        <v>227</v>
      </c>
      <c r="D404" s="86" t="s">
        <v>844</v>
      </c>
      <c r="E404" s="86" t="s">
        <v>303</v>
      </c>
      <c r="F404" s="87" t="s">
        <v>304</v>
      </c>
      <c r="G404" s="96">
        <v>126</v>
      </c>
      <c r="H404" s="97" t="s">
        <v>105</v>
      </c>
      <c r="I404" s="86" t="s">
        <v>227</v>
      </c>
      <c r="J404" s="86" t="s">
        <v>844</v>
      </c>
      <c r="K404" s="86" t="s">
        <v>303</v>
      </c>
      <c r="L404" s="87" t="s">
        <v>304</v>
      </c>
    </row>
    <row r="405" spans="1:12" s="90" customFormat="1" ht="12.75" customHeight="1">
      <c r="A405" s="99" t="s">
        <v>23</v>
      </c>
      <c r="B405" s="100" t="s">
        <v>108</v>
      </c>
      <c r="C405" s="101"/>
      <c r="D405" s="101"/>
      <c r="E405" s="101"/>
      <c r="F405" s="102"/>
      <c r="G405" s="99" t="s">
        <v>23</v>
      </c>
      <c r="H405" s="100" t="s">
        <v>129</v>
      </c>
      <c r="I405" s="101">
        <f>SUM(I406:I410)</f>
        <v>417641</v>
      </c>
      <c r="J405" s="101">
        <f>SUM(J406:J410)</f>
        <v>417641</v>
      </c>
      <c r="K405" s="101">
        <f>SUM(K406:K410)</f>
        <v>277467</v>
      </c>
      <c r="L405" s="102">
        <f>+K405/J405</f>
        <v>0.6643672436374781</v>
      </c>
    </row>
    <row r="406" spans="1:12" s="90" customFormat="1" ht="12.75" customHeight="1">
      <c r="A406" s="99" t="s">
        <v>111</v>
      </c>
      <c r="B406" s="116" t="s">
        <v>209</v>
      </c>
      <c r="C406" s="106"/>
      <c r="D406" s="106"/>
      <c r="E406" s="106"/>
      <c r="F406" s="599"/>
      <c r="G406" s="99" t="s">
        <v>111</v>
      </c>
      <c r="H406" s="116" t="s">
        <v>80</v>
      </c>
      <c r="I406" s="106">
        <v>215814</v>
      </c>
      <c r="J406" s="106">
        <v>237122</v>
      </c>
      <c r="K406" s="106">
        <v>237122</v>
      </c>
      <c r="L406" s="599">
        <f>+K406/J406</f>
        <v>1</v>
      </c>
    </row>
    <row r="407" spans="1:12" s="90" customFormat="1" ht="12.75" customHeight="1">
      <c r="A407" s="99"/>
      <c r="B407" s="116" t="s">
        <v>210</v>
      </c>
      <c r="C407" s="106"/>
      <c r="D407" s="106"/>
      <c r="E407" s="106"/>
      <c r="F407" s="599"/>
      <c r="G407" s="99" t="s">
        <v>112</v>
      </c>
      <c r="H407" s="116" t="s">
        <v>147</v>
      </c>
      <c r="I407" s="106">
        <v>61653</v>
      </c>
      <c r="J407" s="106">
        <v>40345</v>
      </c>
      <c r="K407" s="106">
        <v>40345</v>
      </c>
      <c r="L407" s="599">
        <f>+K407/J407</f>
        <v>1</v>
      </c>
    </row>
    <row r="408" spans="1:12" s="90" customFormat="1" ht="12.75" customHeight="1">
      <c r="A408" s="99" t="s">
        <v>112</v>
      </c>
      <c r="B408" s="116" t="s">
        <v>9</v>
      </c>
      <c r="C408" s="106"/>
      <c r="D408" s="106"/>
      <c r="E408" s="106"/>
      <c r="F408" s="599"/>
      <c r="G408" s="99" t="s">
        <v>113</v>
      </c>
      <c r="H408" s="116" t="s">
        <v>83</v>
      </c>
      <c r="I408" s="106">
        <f>145000-4826</f>
        <v>140174</v>
      </c>
      <c r="J408" s="106">
        <f>145000-4826</f>
        <v>140174</v>
      </c>
      <c r="K408" s="106">
        <v>0</v>
      </c>
      <c r="L408" s="599">
        <f>+K408/J408</f>
        <v>0</v>
      </c>
    </row>
    <row r="409" spans="1:12" s="90" customFormat="1" ht="12.75" customHeight="1">
      <c r="A409" s="99" t="s">
        <v>113</v>
      </c>
      <c r="B409" s="116" t="s">
        <v>170</v>
      </c>
      <c r="C409" s="106"/>
      <c r="D409" s="106"/>
      <c r="E409" s="106"/>
      <c r="F409" s="599"/>
      <c r="G409" s="99" t="s">
        <v>114</v>
      </c>
      <c r="H409" s="116" t="s">
        <v>84</v>
      </c>
      <c r="I409" s="106"/>
      <c r="J409" s="106"/>
      <c r="K409" s="106"/>
      <c r="L409" s="599"/>
    </row>
    <row r="410" spans="1:12" s="90" customFormat="1" ht="12.75" customHeight="1">
      <c r="A410" s="99" t="s">
        <v>114</v>
      </c>
      <c r="B410" s="116" t="s">
        <v>181</v>
      </c>
      <c r="C410" s="106"/>
      <c r="D410" s="106"/>
      <c r="E410" s="106"/>
      <c r="F410" s="599"/>
      <c r="G410" s="99" t="s">
        <v>115</v>
      </c>
      <c r="H410" s="116" t="s">
        <v>211</v>
      </c>
      <c r="I410" s="106"/>
      <c r="J410" s="106"/>
      <c r="K410" s="106"/>
      <c r="L410" s="599"/>
    </row>
    <row r="411" spans="1:12" s="90" customFormat="1" ht="12.75" customHeight="1">
      <c r="A411" s="112" t="s">
        <v>45</v>
      </c>
      <c r="B411" s="100" t="s">
        <v>118</v>
      </c>
      <c r="C411" s="101"/>
      <c r="D411" s="101"/>
      <c r="E411" s="101"/>
      <c r="F411" s="102"/>
      <c r="G411" s="112" t="s">
        <v>45</v>
      </c>
      <c r="H411" s="100" t="s">
        <v>130</v>
      </c>
      <c r="I411" s="101"/>
      <c r="J411" s="101"/>
      <c r="K411" s="101"/>
      <c r="L411" s="102"/>
    </row>
    <row r="412" spans="1:12" s="90" customFormat="1" ht="12.75" customHeight="1">
      <c r="A412" s="112" t="s">
        <v>111</v>
      </c>
      <c r="B412" s="100" t="s">
        <v>106</v>
      </c>
      <c r="C412" s="106"/>
      <c r="D412" s="106"/>
      <c r="E412" s="106"/>
      <c r="F412" s="599"/>
      <c r="G412" s="112" t="s">
        <v>111</v>
      </c>
      <c r="H412" s="100" t="s">
        <v>131</v>
      </c>
      <c r="I412" s="106"/>
      <c r="J412" s="106"/>
      <c r="K412" s="106"/>
      <c r="L412" s="599"/>
    </row>
    <row r="413" spans="1:12" s="90" customFormat="1" ht="12.75" customHeight="1">
      <c r="A413" s="112" t="s">
        <v>112</v>
      </c>
      <c r="B413" s="100" t="s">
        <v>39</v>
      </c>
      <c r="C413" s="106"/>
      <c r="D413" s="106"/>
      <c r="E413" s="106"/>
      <c r="F413" s="599"/>
      <c r="G413" s="112" t="s">
        <v>112</v>
      </c>
      <c r="H413" s="100" t="s">
        <v>87</v>
      </c>
      <c r="I413" s="106"/>
      <c r="J413" s="106"/>
      <c r="K413" s="106"/>
      <c r="L413" s="599"/>
    </row>
    <row r="414" spans="1:12" s="90" customFormat="1" ht="12.75" customHeight="1">
      <c r="A414" s="112" t="s">
        <v>113</v>
      </c>
      <c r="B414" s="100" t="s">
        <v>201</v>
      </c>
      <c r="C414" s="106"/>
      <c r="D414" s="106"/>
      <c r="E414" s="106"/>
      <c r="F414" s="599"/>
      <c r="G414" s="112" t="s">
        <v>113</v>
      </c>
      <c r="H414" s="100" t="s">
        <v>90</v>
      </c>
      <c r="I414" s="106"/>
      <c r="J414" s="106"/>
      <c r="K414" s="106"/>
      <c r="L414" s="599"/>
    </row>
    <row r="415" spans="1:12" s="90" customFormat="1" ht="12.75" customHeight="1">
      <c r="A415" s="112" t="s">
        <v>56</v>
      </c>
      <c r="B415" s="100" t="s">
        <v>126</v>
      </c>
      <c r="C415" s="101">
        <v>417641</v>
      </c>
      <c r="D415" s="101">
        <v>417641</v>
      </c>
      <c r="E415" s="101">
        <v>417641</v>
      </c>
      <c r="F415" s="102">
        <f>+E415/D415</f>
        <v>1</v>
      </c>
      <c r="G415" s="112" t="s">
        <v>56</v>
      </c>
      <c r="H415" s="100" t="s">
        <v>132</v>
      </c>
      <c r="I415" s="101"/>
      <c r="J415" s="101"/>
      <c r="K415" s="101"/>
      <c r="L415" s="102"/>
    </row>
    <row r="416" spans="1:12" s="90" customFormat="1" ht="12.75" customHeight="1">
      <c r="A416" s="99" t="s">
        <v>64</v>
      </c>
      <c r="B416" s="116" t="s">
        <v>127</v>
      </c>
      <c r="C416" s="101"/>
      <c r="D416" s="101"/>
      <c r="E416" s="101"/>
      <c r="F416" s="102"/>
      <c r="G416" s="99" t="s">
        <v>64</v>
      </c>
      <c r="H416" s="116" t="s">
        <v>133</v>
      </c>
      <c r="I416" s="101"/>
      <c r="J416" s="101"/>
      <c r="K416" s="101"/>
      <c r="L416" s="102"/>
    </row>
    <row r="417" spans="1:12" s="124" customFormat="1" ht="12.75" customHeight="1" thickBot="1">
      <c r="A417" s="117"/>
      <c r="B417" s="118" t="s">
        <v>148</v>
      </c>
      <c r="C417" s="88">
        <f>+C405+C411+C415+C416</f>
        <v>417641</v>
      </c>
      <c r="D417" s="88">
        <f>+D405+D411+D415+D416</f>
        <v>417641</v>
      </c>
      <c r="E417" s="88">
        <f>+E405+E411+E415+E416</f>
        <v>417641</v>
      </c>
      <c r="F417" s="119">
        <f>+E417/D417</f>
        <v>1</v>
      </c>
      <c r="G417" s="117"/>
      <c r="H417" s="118" t="s">
        <v>149</v>
      </c>
      <c r="I417" s="88">
        <f>I405+I411+I415+I416</f>
        <v>417641</v>
      </c>
      <c r="J417" s="88">
        <f>J405+J411+J415+J416</f>
        <v>417641</v>
      </c>
      <c r="K417" s="88">
        <f>K405+K411+K415+K416</f>
        <v>277467</v>
      </c>
      <c r="L417" s="119">
        <f>+K417/J417</f>
        <v>0.6643672436374781</v>
      </c>
    </row>
    <row r="418" spans="1:12" s="126" customFormat="1" ht="12.75" customHeight="1">
      <c r="A418" s="124"/>
      <c r="B418" s="124"/>
      <c r="C418" s="93"/>
      <c r="D418" s="93"/>
      <c r="E418" s="93"/>
      <c r="F418" s="93"/>
      <c r="G418" s="124"/>
      <c r="H418" s="124"/>
      <c r="I418" s="93"/>
      <c r="J418" s="93"/>
      <c r="K418" s="93"/>
      <c r="L418" s="93"/>
    </row>
    <row r="419" spans="1:12" s="90" customFormat="1" ht="12.75" customHeight="1" thickBot="1">
      <c r="A419" s="90" t="s">
        <v>799</v>
      </c>
      <c r="B419" s="124"/>
      <c r="C419" s="93"/>
      <c r="D419" s="93"/>
      <c r="E419" s="93"/>
      <c r="F419" s="93"/>
      <c r="G419" s="124"/>
      <c r="H419" s="124"/>
      <c r="I419" s="595"/>
      <c r="J419" s="595"/>
      <c r="K419" s="93"/>
      <c r="L419" s="596" t="s">
        <v>216</v>
      </c>
    </row>
    <row r="420" spans="1:12" s="90" customFormat="1" ht="24.75" customHeight="1">
      <c r="A420" s="96"/>
      <c r="B420" s="97" t="s">
        <v>104</v>
      </c>
      <c r="C420" s="86" t="s">
        <v>227</v>
      </c>
      <c r="D420" s="86" t="s">
        <v>844</v>
      </c>
      <c r="E420" s="86" t="s">
        <v>303</v>
      </c>
      <c r="F420" s="87" t="s">
        <v>304</v>
      </c>
      <c r="G420" s="96">
        <v>122</v>
      </c>
      <c r="H420" s="97" t="s">
        <v>105</v>
      </c>
      <c r="I420" s="86" t="s">
        <v>227</v>
      </c>
      <c r="J420" s="86" t="s">
        <v>844</v>
      </c>
      <c r="K420" s="86" t="s">
        <v>303</v>
      </c>
      <c r="L420" s="87" t="s">
        <v>304</v>
      </c>
    </row>
    <row r="421" spans="1:12" s="90" customFormat="1" ht="12.75" customHeight="1">
      <c r="A421" s="99" t="s">
        <v>23</v>
      </c>
      <c r="B421" s="100" t="s">
        <v>108</v>
      </c>
      <c r="C421" s="101"/>
      <c r="D421" s="101"/>
      <c r="E421" s="101"/>
      <c r="F421" s="102"/>
      <c r="G421" s="99" t="s">
        <v>23</v>
      </c>
      <c r="H421" s="100" t="s">
        <v>129</v>
      </c>
      <c r="I421" s="101">
        <f>SUM(I422:I426)</f>
        <v>7034432</v>
      </c>
      <c r="J421" s="101">
        <f>SUM(J422:J426)</f>
        <v>7034432</v>
      </c>
      <c r="K421" s="101">
        <f>SUM(K422:K426)</f>
        <v>3351845</v>
      </c>
      <c r="L421" s="102">
        <f>+K421/J421</f>
        <v>0.4764912078189113</v>
      </c>
    </row>
    <row r="422" spans="1:12" s="90" customFormat="1" ht="12.75" customHeight="1">
      <c r="A422" s="99" t="s">
        <v>111</v>
      </c>
      <c r="B422" s="116" t="s">
        <v>209</v>
      </c>
      <c r="C422" s="106"/>
      <c r="D422" s="106"/>
      <c r="E422" s="106"/>
      <c r="F422" s="599"/>
      <c r="G422" s="99" t="s">
        <v>111</v>
      </c>
      <c r="H422" s="116" t="s">
        <v>80</v>
      </c>
      <c r="I422" s="106">
        <v>5760644</v>
      </c>
      <c r="J422" s="106">
        <v>5760644</v>
      </c>
      <c r="K422" s="106">
        <v>2859687</v>
      </c>
      <c r="L422" s="599">
        <f aca="true" t="shared" si="4" ref="L422:L433">+K422/J422</f>
        <v>0.4964179352169653</v>
      </c>
    </row>
    <row r="423" spans="1:12" s="90" customFormat="1" ht="12.75" customHeight="1">
      <c r="A423" s="99"/>
      <c r="B423" s="116" t="s">
        <v>210</v>
      </c>
      <c r="C423" s="106"/>
      <c r="D423" s="106"/>
      <c r="E423" s="106"/>
      <c r="F423" s="599"/>
      <c r="G423" s="99" t="s">
        <v>112</v>
      </c>
      <c r="H423" s="116" t="s">
        <v>147</v>
      </c>
      <c r="I423" s="106">
        <v>1147928</v>
      </c>
      <c r="J423" s="106">
        <v>1147928</v>
      </c>
      <c r="K423" s="106">
        <v>492158</v>
      </c>
      <c r="L423" s="599">
        <f t="shared" si="4"/>
        <v>0.4287359485960792</v>
      </c>
    </row>
    <row r="424" spans="1:12" s="90" customFormat="1" ht="12.75" customHeight="1">
      <c r="A424" s="99" t="s">
        <v>112</v>
      </c>
      <c r="B424" s="116" t="s">
        <v>9</v>
      </c>
      <c r="C424" s="106"/>
      <c r="D424" s="106"/>
      <c r="E424" s="106"/>
      <c r="F424" s="599"/>
      <c r="G424" s="99" t="s">
        <v>113</v>
      </c>
      <c r="H424" s="116" t="s">
        <v>83</v>
      </c>
      <c r="I424" s="106">
        <f>1182246-59436-996950</f>
        <v>125860</v>
      </c>
      <c r="J424" s="106">
        <f>1182246-59436-996950</f>
        <v>125860</v>
      </c>
      <c r="K424" s="106">
        <v>0</v>
      </c>
      <c r="L424" s="599">
        <f t="shared" si="4"/>
        <v>0</v>
      </c>
    </row>
    <row r="425" spans="1:12" s="90" customFormat="1" ht="12.75" customHeight="1">
      <c r="A425" s="99" t="s">
        <v>113</v>
      </c>
      <c r="B425" s="116" t="s">
        <v>170</v>
      </c>
      <c r="C425" s="106"/>
      <c r="D425" s="106"/>
      <c r="E425" s="106"/>
      <c r="F425" s="599"/>
      <c r="G425" s="99" t="s">
        <v>114</v>
      </c>
      <c r="H425" s="116" t="s">
        <v>84</v>
      </c>
      <c r="I425" s="106"/>
      <c r="J425" s="106"/>
      <c r="K425" s="106"/>
      <c r="L425" s="599"/>
    </row>
    <row r="426" spans="1:12" s="90" customFormat="1" ht="12.75" customHeight="1">
      <c r="A426" s="99" t="s">
        <v>114</v>
      </c>
      <c r="B426" s="116" t="s">
        <v>181</v>
      </c>
      <c r="C426" s="106"/>
      <c r="D426" s="106"/>
      <c r="E426" s="106"/>
      <c r="F426" s="599"/>
      <c r="G426" s="99" t="s">
        <v>115</v>
      </c>
      <c r="H426" s="116" t="s">
        <v>211</v>
      </c>
      <c r="I426" s="106"/>
      <c r="J426" s="106"/>
      <c r="K426" s="106"/>
      <c r="L426" s="599"/>
    </row>
    <row r="427" spans="1:12" s="90" customFormat="1" ht="12.75" customHeight="1">
      <c r="A427" s="112" t="s">
        <v>45</v>
      </c>
      <c r="B427" s="100" t="s">
        <v>118</v>
      </c>
      <c r="C427" s="101"/>
      <c r="D427" s="101"/>
      <c r="E427" s="101"/>
      <c r="F427" s="102"/>
      <c r="G427" s="112" t="s">
        <v>45</v>
      </c>
      <c r="H427" s="100" t="s">
        <v>130</v>
      </c>
      <c r="I427" s="101">
        <f>I428+I429+I430</f>
        <v>996950</v>
      </c>
      <c r="J427" s="101">
        <f>J428+J429+J430</f>
        <v>996950</v>
      </c>
      <c r="K427" s="101">
        <f>K428+K429+K430</f>
        <v>996950</v>
      </c>
      <c r="L427" s="102">
        <f t="shared" si="4"/>
        <v>1</v>
      </c>
    </row>
    <row r="428" spans="1:12" s="90" customFormat="1" ht="12.75" customHeight="1">
      <c r="A428" s="112" t="s">
        <v>111</v>
      </c>
      <c r="B428" s="100" t="s">
        <v>106</v>
      </c>
      <c r="C428" s="106"/>
      <c r="D428" s="106"/>
      <c r="E428" s="106"/>
      <c r="F428" s="599"/>
      <c r="G428" s="112" t="s">
        <v>111</v>
      </c>
      <c r="H428" s="100" t="s">
        <v>131</v>
      </c>
      <c r="I428" s="106">
        <f>785000+211950</f>
        <v>996950</v>
      </c>
      <c r="J428" s="106">
        <f>785000+211950</f>
        <v>996950</v>
      </c>
      <c r="K428" s="106">
        <v>996950</v>
      </c>
      <c r="L428" s="599">
        <f t="shared" si="4"/>
        <v>1</v>
      </c>
    </row>
    <row r="429" spans="1:12" s="90" customFormat="1" ht="12.75" customHeight="1">
      <c r="A429" s="112" t="s">
        <v>112</v>
      </c>
      <c r="B429" s="100" t="s">
        <v>39</v>
      </c>
      <c r="C429" s="106"/>
      <c r="D429" s="106"/>
      <c r="E429" s="106"/>
      <c r="F429" s="599"/>
      <c r="G429" s="112" t="s">
        <v>112</v>
      </c>
      <c r="H429" s="100" t="s">
        <v>87</v>
      </c>
      <c r="I429" s="106"/>
      <c r="J429" s="106"/>
      <c r="K429" s="106"/>
      <c r="L429" s="599"/>
    </row>
    <row r="430" spans="1:12" s="90" customFormat="1" ht="12.75" customHeight="1">
      <c r="A430" s="112" t="s">
        <v>113</v>
      </c>
      <c r="B430" s="100" t="s">
        <v>201</v>
      </c>
      <c r="C430" s="106"/>
      <c r="D430" s="106"/>
      <c r="E430" s="106"/>
      <c r="F430" s="599"/>
      <c r="G430" s="112" t="s">
        <v>113</v>
      </c>
      <c r="H430" s="100" t="s">
        <v>90</v>
      </c>
      <c r="I430" s="106"/>
      <c r="J430" s="106"/>
      <c r="K430" s="106"/>
      <c r="L430" s="599"/>
    </row>
    <row r="431" spans="1:12" s="90" customFormat="1" ht="12.75" customHeight="1">
      <c r="A431" s="112" t="s">
        <v>56</v>
      </c>
      <c r="B431" s="100" t="s">
        <v>126</v>
      </c>
      <c r="C431" s="101">
        <v>8031382</v>
      </c>
      <c r="D431" s="101">
        <v>8031382</v>
      </c>
      <c r="E431" s="101">
        <v>8031382</v>
      </c>
      <c r="F431" s="102">
        <f>+E431/D431</f>
        <v>1</v>
      </c>
      <c r="G431" s="112" t="s">
        <v>56</v>
      </c>
      <c r="H431" s="100" t="s">
        <v>132</v>
      </c>
      <c r="I431" s="101"/>
      <c r="J431" s="101"/>
      <c r="K431" s="101"/>
      <c r="L431" s="102"/>
    </row>
    <row r="432" spans="1:12" s="90" customFormat="1" ht="12.75" customHeight="1">
      <c r="A432" s="99" t="s">
        <v>64</v>
      </c>
      <c r="B432" s="116" t="s">
        <v>127</v>
      </c>
      <c r="C432" s="101"/>
      <c r="D432" s="101"/>
      <c r="E432" s="101"/>
      <c r="F432" s="102"/>
      <c r="G432" s="99" t="s">
        <v>64</v>
      </c>
      <c r="H432" s="116" t="s">
        <v>133</v>
      </c>
      <c r="I432" s="101"/>
      <c r="J432" s="101"/>
      <c r="K432" s="101"/>
      <c r="L432" s="102"/>
    </row>
    <row r="433" spans="1:12" s="124" customFormat="1" ht="12.75" customHeight="1" thickBot="1">
      <c r="A433" s="117"/>
      <c r="B433" s="118" t="s">
        <v>148</v>
      </c>
      <c r="C433" s="88">
        <f>+C421+C427+C431+C432</f>
        <v>8031382</v>
      </c>
      <c r="D433" s="88">
        <f>+D421+D427+D431+D432</f>
        <v>8031382</v>
      </c>
      <c r="E433" s="88">
        <f>+E421+E427+E431+E432</f>
        <v>8031382</v>
      </c>
      <c r="F433" s="119">
        <f>+E433/D433</f>
        <v>1</v>
      </c>
      <c r="G433" s="117"/>
      <c r="H433" s="118" t="s">
        <v>149</v>
      </c>
      <c r="I433" s="88">
        <f>I421+I427+I431+I432</f>
        <v>8031382</v>
      </c>
      <c r="J433" s="88">
        <f>J421+J427+J431+J432</f>
        <v>8031382</v>
      </c>
      <c r="K433" s="88">
        <f>K421+K427+K431+K432</f>
        <v>4348795</v>
      </c>
      <c r="L433" s="119">
        <f t="shared" si="4"/>
        <v>0.5414753027561134</v>
      </c>
    </row>
    <row r="434" spans="1:12" s="126" customFormat="1" ht="12.75" customHeight="1">
      <c r="A434" s="124"/>
      <c r="B434" s="124"/>
      <c r="C434" s="93"/>
      <c r="D434" s="93"/>
      <c r="E434" s="93"/>
      <c r="F434" s="93"/>
      <c r="G434" s="124"/>
      <c r="H434" s="124"/>
      <c r="I434" s="93"/>
      <c r="J434" s="93"/>
      <c r="K434" s="93"/>
      <c r="L434" s="93"/>
    </row>
    <row r="435" spans="1:12" s="90" customFormat="1" ht="12.75" customHeight="1" thickBot="1">
      <c r="A435" s="90" t="s">
        <v>800</v>
      </c>
      <c r="B435" s="124"/>
      <c r="C435" s="93"/>
      <c r="D435" s="93"/>
      <c r="E435" s="93"/>
      <c r="F435" s="93"/>
      <c r="G435" s="124"/>
      <c r="H435" s="124"/>
      <c r="I435" s="595"/>
      <c r="J435" s="595"/>
      <c r="K435" s="93"/>
      <c r="L435" s="596" t="s">
        <v>216</v>
      </c>
    </row>
    <row r="436" spans="1:12" s="90" customFormat="1" ht="24.75" customHeight="1">
      <c r="A436" s="96"/>
      <c r="B436" s="97" t="s">
        <v>104</v>
      </c>
      <c r="C436" s="86" t="s">
        <v>227</v>
      </c>
      <c r="D436" s="86" t="s">
        <v>844</v>
      </c>
      <c r="E436" s="86" t="s">
        <v>303</v>
      </c>
      <c r="F436" s="87" t="s">
        <v>304</v>
      </c>
      <c r="G436" s="96">
        <v>41</v>
      </c>
      <c r="H436" s="97" t="s">
        <v>105</v>
      </c>
      <c r="I436" s="86" t="s">
        <v>227</v>
      </c>
      <c r="J436" s="86" t="s">
        <v>844</v>
      </c>
      <c r="K436" s="86" t="s">
        <v>303</v>
      </c>
      <c r="L436" s="87" t="s">
        <v>304</v>
      </c>
    </row>
    <row r="437" spans="1:12" s="90" customFormat="1" ht="12.75" customHeight="1">
      <c r="A437" s="99" t="s">
        <v>23</v>
      </c>
      <c r="B437" s="100" t="s">
        <v>108</v>
      </c>
      <c r="C437" s="101"/>
      <c r="D437" s="101"/>
      <c r="E437" s="101"/>
      <c r="F437" s="102"/>
      <c r="G437" s="99" t="s">
        <v>23</v>
      </c>
      <c r="H437" s="100" t="s">
        <v>129</v>
      </c>
      <c r="I437" s="101">
        <f>SUM(I438:I442)</f>
        <v>465732</v>
      </c>
      <c r="J437" s="101">
        <f>SUM(J438:J442)</f>
        <v>465732</v>
      </c>
      <c r="K437" s="101">
        <f>SUM(K438:K442)</f>
        <v>349299</v>
      </c>
      <c r="L437" s="102">
        <f>+K437/J437</f>
        <v>0.75</v>
      </c>
    </row>
    <row r="438" spans="1:12" s="90" customFormat="1" ht="12.75" customHeight="1">
      <c r="A438" s="99" t="s">
        <v>111</v>
      </c>
      <c r="B438" s="116" t="s">
        <v>209</v>
      </c>
      <c r="C438" s="106"/>
      <c r="D438" s="106"/>
      <c r="E438" s="106"/>
      <c r="F438" s="599"/>
      <c r="G438" s="99" t="s">
        <v>111</v>
      </c>
      <c r="H438" s="116" t="s">
        <v>80</v>
      </c>
      <c r="I438" s="106">
        <v>297275</v>
      </c>
      <c r="J438" s="106">
        <v>297534</v>
      </c>
      <c r="K438" s="106">
        <v>297534</v>
      </c>
      <c r="L438" s="599">
        <f>+K438/J438</f>
        <v>1</v>
      </c>
    </row>
    <row r="439" spans="1:12" s="90" customFormat="1" ht="12.75" customHeight="1">
      <c r="A439" s="99"/>
      <c r="B439" s="116" t="s">
        <v>210</v>
      </c>
      <c r="C439" s="106"/>
      <c r="D439" s="106"/>
      <c r="E439" s="106"/>
      <c r="F439" s="599"/>
      <c r="G439" s="99" t="s">
        <v>112</v>
      </c>
      <c r="H439" s="116" t="s">
        <v>147</v>
      </c>
      <c r="I439" s="106">
        <v>52023</v>
      </c>
      <c r="J439" s="106">
        <v>51765</v>
      </c>
      <c r="K439" s="106">
        <v>51765</v>
      </c>
      <c r="L439" s="599">
        <f>+K439/J439</f>
        <v>1</v>
      </c>
    </row>
    <row r="440" spans="1:12" s="90" customFormat="1" ht="12.75" customHeight="1">
      <c r="A440" s="99" t="s">
        <v>112</v>
      </c>
      <c r="B440" s="116" t="s">
        <v>9</v>
      </c>
      <c r="C440" s="106"/>
      <c r="D440" s="106"/>
      <c r="E440" s="106"/>
      <c r="F440" s="599"/>
      <c r="G440" s="99" t="s">
        <v>113</v>
      </c>
      <c r="H440" s="116" t="s">
        <v>83</v>
      </c>
      <c r="I440" s="106">
        <v>116434</v>
      </c>
      <c r="J440" s="106">
        <v>50000</v>
      </c>
      <c r="K440" s="106">
        <v>0</v>
      </c>
      <c r="L440" s="599">
        <f>+K440/J440</f>
        <v>0</v>
      </c>
    </row>
    <row r="441" spans="1:12" s="90" customFormat="1" ht="12.75" customHeight="1">
      <c r="A441" s="99" t="s">
        <v>113</v>
      </c>
      <c r="B441" s="116" t="s">
        <v>170</v>
      </c>
      <c r="C441" s="106"/>
      <c r="D441" s="106"/>
      <c r="E441" s="106"/>
      <c r="F441" s="599"/>
      <c r="G441" s="99" t="s">
        <v>114</v>
      </c>
      <c r="H441" s="116" t="s">
        <v>84</v>
      </c>
      <c r="I441" s="106"/>
      <c r="J441" s="106"/>
      <c r="K441" s="106"/>
      <c r="L441" s="599"/>
    </row>
    <row r="442" spans="1:12" s="90" customFormat="1" ht="12.75" customHeight="1">
      <c r="A442" s="99" t="s">
        <v>114</v>
      </c>
      <c r="B442" s="116" t="s">
        <v>181</v>
      </c>
      <c r="C442" s="106"/>
      <c r="D442" s="106"/>
      <c r="E442" s="106"/>
      <c r="F442" s="599"/>
      <c r="G442" s="99" t="s">
        <v>115</v>
      </c>
      <c r="H442" s="116" t="s">
        <v>211</v>
      </c>
      <c r="I442" s="106">
        <v>0</v>
      </c>
      <c r="J442" s="106">
        <v>66433</v>
      </c>
      <c r="K442" s="106">
        <v>0</v>
      </c>
      <c r="L442" s="599">
        <f>+K442/J442</f>
        <v>0</v>
      </c>
    </row>
    <row r="443" spans="1:12" s="90" customFormat="1" ht="12.75" customHeight="1">
      <c r="A443" s="112" t="s">
        <v>45</v>
      </c>
      <c r="B443" s="100" t="s">
        <v>118</v>
      </c>
      <c r="C443" s="101"/>
      <c r="D443" s="101"/>
      <c r="E443" s="101"/>
      <c r="F443" s="102"/>
      <c r="G443" s="112" t="s">
        <v>45</v>
      </c>
      <c r="H443" s="100" t="s">
        <v>130</v>
      </c>
      <c r="I443" s="101"/>
      <c r="J443" s="101"/>
      <c r="K443" s="101"/>
      <c r="L443" s="102"/>
    </row>
    <row r="444" spans="1:12" s="90" customFormat="1" ht="12.75" customHeight="1">
      <c r="A444" s="112" t="s">
        <v>111</v>
      </c>
      <c r="B444" s="100" t="s">
        <v>106</v>
      </c>
      <c r="C444" s="106"/>
      <c r="D444" s="106"/>
      <c r="E444" s="106"/>
      <c r="F444" s="599"/>
      <c r="G444" s="112" t="s">
        <v>111</v>
      </c>
      <c r="H444" s="100" t="s">
        <v>131</v>
      </c>
      <c r="I444" s="106"/>
      <c r="J444" s="106"/>
      <c r="K444" s="106"/>
      <c r="L444" s="599"/>
    </row>
    <row r="445" spans="1:12" s="90" customFormat="1" ht="12.75" customHeight="1">
      <c r="A445" s="112" t="s">
        <v>112</v>
      </c>
      <c r="B445" s="100" t="s">
        <v>39</v>
      </c>
      <c r="C445" s="106"/>
      <c r="D445" s="106"/>
      <c r="E445" s="106"/>
      <c r="F445" s="599"/>
      <c r="G445" s="112" t="s">
        <v>112</v>
      </c>
      <c r="H445" s="100" t="s">
        <v>87</v>
      </c>
      <c r="I445" s="106"/>
      <c r="J445" s="106"/>
      <c r="K445" s="106"/>
      <c r="L445" s="599"/>
    </row>
    <row r="446" spans="1:12" s="90" customFormat="1" ht="12.75" customHeight="1">
      <c r="A446" s="112" t="s">
        <v>113</v>
      </c>
      <c r="B446" s="100" t="s">
        <v>201</v>
      </c>
      <c r="C446" s="106"/>
      <c r="D446" s="106"/>
      <c r="E446" s="106"/>
      <c r="F446" s="599"/>
      <c r="G446" s="112" t="s">
        <v>113</v>
      </c>
      <c r="H446" s="100" t="s">
        <v>90</v>
      </c>
      <c r="I446" s="106"/>
      <c r="J446" s="106"/>
      <c r="K446" s="106"/>
      <c r="L446" s="599"/>
    </row>
    <row r="447" spans="1:12" s="90" customFormat="1" ht="12.75" customHeight="1">
      <c r="A447" s="112" t="s">
        <v>56</v>
      </c>
      <c r="B447" s="100" t="s">
        <v>126</v>
      </c>
      <c r="C447" s="101">
        <v>465732</v>
      </c>
      <c r="D447" s="101">
        <v>465732</v>
      </c>
      <c r="E447" s="101">
        <v>465732</v>
      </c>
      <c r="F447" s="102">
        <f>+E447/D447</f>
        <v>1</v>
      </c>
      <c r="G447" s="112" t="s">
        <v>56</v>
      </c>
      <c r="H447" s="100" t="s">
        <v>132</v>
      </c>
      <c r="I447" s="101"/>
      <c r="J447" s="101"/>
      <c r="K447" s="101"/>
      <c r="L447" s="102"/>
    </row>
    <row r="448" spans="1:12" s="90" customFormat="1" ht="12.75" customHeight="1">
      <c r="A448" s="99" t="s">
        <v>64</v>
      </c>
      <c r="B448" s="116" t="s">
        <v>127</v>
      </c>
      <c r="C448" s="101"/>
      <c r="D448" s="101"/>
      <c r="E448" s="101"/>
      <c r="F448" s="102"/>
      <c r="G448" s="99" t="s">
        <v>64</v>
      </c>
      <c r="H448" s="116" t="s">
        <v>133</v>
      </c>
      <c r="I448" s="101"/>
      <c r="J448" s="101"/>
      <c r="K448" s="101"/>
      <c r="L448" s="102"/>
    </row>
    <row r="449" spans="1:12" s="124" customFormat="1" ht="12.75" customHeight="1" thickBot="1">
      <c r="A449" s="117"/>
      <c r="B449" s="118" t="s">
        <v>148</v>
      </c>
      <c r="C449" s="88">
        <f>+C437+C443+C447+C448</f>
        <v>465732</v>
      </c>
      <c r="D449" s="88">
        <f>+D437+D443+D447+D448</f>
        <v>465732</v>
      </c>
      <c r="E449" s="88">
        <f>+E437+E443+E447+E448</f>
        <v>465732</v>
      </c>
      <c r="F449" s="119">
        <f>+E449/D449</f>
        <v>1</v>
      </c>
      <c r="G449" s="117"/>
      <c r="H449" s="118" t="s">
        <v>149</v>
      </c>
      <c r="I449" s="88">
        <f>I437+I443+I447+I448</f>
        <v>465732</v>
      </c>
      <c r="J449" s="88">
        <f>J437+J443+J447+J448</f>
        <v>465732</v>
      </c>
      <c r="K449" s="88">
        <f>K437+K443+K447+K448</f>
        <v>349299</v>
      </c>
      <c r="L449" s="119">
        <f>+K449/J449</f>
        <v>0.75</v>
      </c>
    </row>
    <row r="450" spans="1:12" s="126" customFormat="1" ht="12.75" customHeight="1">
      <c r="A450" s="124"/>
      <c r="B450" s="124"/>
      <c r="C450" s="93"/>
      <c r="D450" s="93"/>
      <c r="E450" s="93"/>
      <c r="F450" s="93"/>
      <c r="G450" s="124"/>
      <c r="H450" s="124"/>
      <c r="I450" s="93"/>
      <c r="J450" s="93"/>
      <c r="K450" s="93"/>
      <c r="L450" s="93"/>
    </row>
    <row r="451" spans="1:12" s="90" customFormat="1" ht="12.75" customHeight="1" thickBot="1">
      <c r="A451" s="90" t="s">
        <v>852</v>
      </c>
      <c r="B451" s="124"/>
      <c r="E451" s="93"/>
      <c r="F451" s="93"/>
      <c r="G451" s="124"/>
      <c r="H451" s="124"/>
      <c r="I451" s="595"/>
      <c r="J451" s="595"/>
      <c r="K451" s="93"/>
      <c r="L451" s="596" t="s">
        <v>216</v>
      </c>
    </row>
    <row r="452" spans="1:12" s="90" customFormat="1" ht="24.75" customHeight="1">
      <c r="A452" s="96"/>
      <c r="B452" s="97" t="s">
        <v>104</v>
      </c>
      <c r="C452" s="86" t="s">
        <v>227</v>
      </c>
      <c r="D452" s="86" t="s">
        <v>844</v>
      </c>
      <c r="E452" s="86" t="s">
        <v>303</v>
      </c>
      <c r="F452" s="87" t="s">
        <v>304</v>
      </c>
      <c r="G452" s="96">
        <v>42</v>
      </c>
      <c r="H452" s="97" t="s">
        <v>105</v>
      </c>
      <c r="I452" s="86" t="s">
        <v>227</v>
      </c>
      <c r="J452" s="86" t="s">
        <v>844</v>
      </c>
      <c r="K452" s="86" t="s">
        <v>303</v>
      </c>
      <c r="L452" s="87" t="s">
        <v>304</v>
      </c>
    </row>
    <row r="453" spans="1:12" s="90" customFormat="1" ht="12.75" customHeight="1">
      <c r="A453" s="99" t="s">
        <v>23</v>
      </c>
      <c r="B453" s="100" t="s">
        <v>108</v>
      </c>
      <c r="C453" s="101"/>
      <c r="D453" s="101"/>
      <c r="E453" s="101"/>
      <c r="F453" s="102"/>
      <c r="G453" s="99" t="s">
        <v>23</v>
      </c>
      <c r="H453" s="100" t="s">
        <v>129</v>
      </c>
      <c r="I453" s="101">
        <f>SUM(I454:I458)</f>
        <v>530138</v>
      </c>
      <c r="J453" s="101">
        <f>SUM(J454:J458)</f>
        <v>703130</v>
      </c>
      <c r="K453" s="101">
        <f>SUM(K454:K458)</f>
        <v>25203</v>
      </c>
      <c r="L453" s="102">
        <f>+K453/J453</f>
        <v>0.03584401177591626</v>
      </c>
    </row>
    <row r="454" spans="1:12" s="90" customFormat="1" ht="12.75" customHeight="1">
      <c r="A454" s="99" t="s">
        <v>111</v>
      </c>
      <c r="B454" s="116" t="s">
        <v>209</v>
      </c>
      <c r="C454" s="106"/>
      <c r="D454" s="106"/>
      <c r="E454" s="106"/>
      <c r="F454" s="599"/>
      <c r="G454" s="99" t="s">
        <v>111</v>
      </c>
      <c r="H454" s="116" t="s">
        <v>80</v>
      </c>
      <c r="I454" s="106">
        <f>307874-147227</f>
        <v>160647</v>
      </c>
      <c r="J454" s="106">
        <v>372208</v>
      </c>
      <c r="K454" s="106">
        <v>21708</v>
      </c>
      <c r="L454" s="599">
        <f>+K454/J454</f>
        <v>0.05832222843141469</v>
      </c>
    </row>
    <row r="455" spans="1:12" s="90" customFormat="1" ht="12.75" customHeight="1">
      <c r="A455" s="99"/>
      <c r="B455" s="116" t="s">
        <v>210</v>
      </c>
      <c r="C455" s="106"/>
      <c r="D455" s="106"/>
      <c r="E455" s="106"/>
      <c r="F455" s="599"/>
      <c r="G455" s="99" t="s">
        <v>112</v>
      </c>
      <c r="H455" s="116" t="s">
        <v>147</v>
      </c>
      <c r="I455" s="106">
        <f>122156-25765</f>
        <v>96391</v>
      </c>
      <c r="J455" s="106">
        <v>57822</v>
      </c>
      <c r="K455" s="106">
        <v>3495</v>
      </c>
      <c r="L455" s="599">
        <f>+K455/J455</f>
        <v>0.06044412161461036</v>
      </c>
    </row>
    <row r="456" spans="1:12" s="90" customFormat="1" ht="12.75" customHeight="1">
      <c r="A456" s="99" t="s">
        <v>112</v>
      </c>
      <c r="B456" s="116" t="s">
        <v>9</v>
      </c>
      <c r="C456" s="106"/>
      <c r="D456" s="106"/>
      <c r="E456" s="106"/>
      <c r="F456" s="599"/>
      <c r="G456" s="99" t="s">
        <v>113</v>
      </c>
      <c r="H456" s="116" t="s">
        <v>83</v>
      </c>
      <c r="I456" s="106">
        <f>522913+141187-10000-381000</f>
        <v>273100</v>
      </c>
      <c r="J456" s="106">
        <f>522913+141187-10000-381000</f>
        <v>273100</v>
      </c>
      <c r="K456" s="106">
        <v>0</v>
      </c>
      <c r="L456" s="599">
        <f>+K456/J456</f>
        <v>0</v>
      </c>
    </row>
    <row r="457" spans="1:12" s="90" customFormat="1" ht="12.75" customHeight="1">
      <c r="A457" s="99" t="s">
        <v>113</v>
      </c>
      <c r="B457" s="116" t="s">
        <v>170</v>
      </c>
      <c r="C457" s="106"/>
      <c r="D457" s="106"/>
      <c r="E457" s="106"/>
      <c r="F457" s="599"/>
      <c r="G457" s="99" t="s">
        <v>114</v>
      </c>
      <c r="H457" s="116" t="s">
        <v>84</v>
      </c>
      <c r="I457" s="106"/>
      <c r="J457" s="106"/>
      <c r="K457" s="106"/>
      <c r="L457" s="599"/>
    </row>
    <row r="458" spans="1:12" s="90" customFormat="1" ht="12.75" customHeight="1">
      <c r="A458" s="99" t="s">
        <v>114</v>
      </c>
      <c r="B458" s="116" t="s">
        <v>181</v>
      </c>
      <c r="C458" s="106"/>
      <c r="D458" s="106"/>
      <c r="E458" s="106"/>
      <c r="F458" s="599"/>
      <c r="G458" s="99" t="s">
        <v>115</v>
      </c>
      <c r="H458" s="116" t="s">
        <v>211</v>
      </c>
      <c r="I458" s="106"/>
      <c r="J458" s="106"/>
      <c r="K458" s="106"/>
      <c r="L458" s="599"/>
    </row>
    <row r="459" spans="1:12" s="90" customFormat="1" ht="12.75" customHeight="1">
      <c r="A459" s="112" t="s">
        <v>45</v>
      </c>
      <c r="B459" s="100" t="s">
        <v>118</v>
      </c>
      <c r="C459" s="101"/>
      <c r="D459" s="101"/>
      <c r="E459" s="101"/>
      <c r="F459" s="102"/>
      <c r="G459" s="112" t="s">
        <v>45</v>
      </c>
      <c r="H459" s="100" t="s">
        <v>130</v>
      </c>
      <c r="I459" s="101"/>
      <c r="J459" s="101"/>
      <c r="K459" s="101"/>
      <c r="L459" s="102"/>
    </row>
    <row r="460" spans="1:12" s="90" customFormat="1" ht="12.75" customHeight="1">
      <c r="A460" s="112" t="s">
        <v>111</v>
      </c>
      <c r="B460" s="100" t="s">
        <v>106</v>
      </c>
      <c r="C460" s="106"/>
      <c r="D460" s="106"/>
      <c r="E460" s="106"/>
      <c r="F460" s="599"/>
      <c r="G460" s="112" t="s">
        <v>111</v>
      </c>
      <c r="H460" s="100" t="s">
        <v>131</v>
      </c>
      <c r="I460" s="106"/>
      <c r="J460" s="106"/>
      <c r="K460" s="106"/>
      <c r="L460" s="599"/>
    </row>
    <row r="461" spans="1:12" s="90" customFormat="1" ht="12.75" customHeight="1">
      <c r="A461" s="112" t="s">
        <v>112</v>
      </c>
      <c r="B461" s="100" t="s">
        <v>39</v>
      </c>
      <c r="C461" s="106"/>
      <c r="D461" s="106"/>
      <c r="E461" s="106"/>
      <c r="F461" s="599"/>
      <c r="G461" s="112" t="s">
        <v>112</v>
      </c>
      <c r="H461" s="100" t="s">
        <v>87</v>
      </c>
      <c r="I461" s="106"/>
      <c r="J461" s="106"/>
      <c r="K461" s="106"/>
      <c r="L461" s="599"/>
    </row>
    <row r="462" spans="1:12" s="90" customFormat="1" ht="12.75" customHeight="1">
      <c r="A462" s="112" t="s">
        <v>113</v>
      </c>
      <c r="B462" s="100" t="s">
        <v>201</v>
      </c>
      <c r="C462" s="106"/>
      <c r="D462" s="106"/>
      <c r="E462" s="106"/>
      <c r="F462" s="599"/>
      <c r="G462" s="112" t="s">
        <v>113</v>
      </c>
      <c r="H462" s="100" t="s">
        <v>90</v>
      </c>
      <c r="I462" s="106"/>
      <c r="J462" s="106"/>
      <c r="K462" s="106"/>
      <c r="L462" s="599"/>
    </row>
    <row r="463" spans="1:12" s="90" customFormat="1" ht="12.75" customHeight="1">
      <c r="A463" s="112" t="s">
        <v>56</v>
      </c>
      <c r="B463" s="100" t="s">
        <v>126</v>
      </c>
      <c r="C463" s="101">
        <v>530138</v>
      </c>
      <c r="D463" s="101">
        <v>530138</v>
      </c>
      <c r="E463" s="101">
        <v>530138</v>
      </c>
      <c r="F463" s="102">
        <v>1</v>
      </c>
      <c r="G463" s="112" t="s">
        <v>56</v>
      </c>
      <c r="H463" s="100" t="s">
        <v>132</v>
      </c>
      <c r="I463" s="101"/>
      <c r="J463" s="101"/>
      <c r="K463" s="101"/>
      <c r="L463" s="102"/>
    </row>
    <row r="464" spans="1:12" s="90" customFormat="1" ht="12.75" customHeight="1">
      <c r="A464" s="99" t="s">
        <v>64</v>
      </c>
      <c r="B464" s="116" t="s">
        <v>127</v>
      </c>
      <c r="C464" s="101"/>
      <c r="D464" s="101"/>
      <c r="E464" s="101"/>
      <c r="F464" s="102"/>
      <c r="G464" s="99" t="s">
        <v>64</v>
      </c>
      <c r="H464" s="116" t="s">
        <v>133</v>
      </c>
      <c r="I464" s="101"/>
      <c r="J464" s="101"/>
      <c r="K464" s="101"/>
      <c r="L464" s="102"/>
    </row>
    <row r="465" spans="1:12" s="124" customFormat="1" ht="12.75" customHeight="1" thickBot="1">
      <c r="A465" s="117"/>
      <c r="B465" s="118" t="s">
        <v>148</v>
      </c>
      <c r="C465" s="88">
        <f>+C453+C459+C463+C464</f>
        <v>530138</v>
      </c>
      <c r="D465" s="88">
        <f>+D453+D459+D463+D464</f>
        <v>530138</v>
      </c>
      <c r="E465" s="88">
        <f>+E453+E459+E463+E464</f>
        <v>530138</v>
      </c>
      <c r="F465" s="119">
        <f>+E465/D465</f>
        <v>1</v>
      </c>
      <c r="G465" s="117"/>
      <c r="H465" s="118" t="s">
        <v>149</v>
      </c>
      <c r="I465" s="88">
        <f>I453+I459+I463+I464</f>
        <v>530138</v>
      </c>
      <c r="J465" s="88">
        <f>J453+J459+J463+J464</f>
        <v>703130</v>
      </c>
      <c r="K465" s="88">
        <f>K453+K459+K463+K464</f>
        <v>25203</v>
      </c>
      <c r="L465" s="119">
        <f>+K465/J465</f>
        <v>0.03584401177591626</v>
      </c>
    </row>
    <row r="466" spans="1:12" s="126" customFormat="1" ht="15">
      <c r="A466" s="124"/>
      <c r="B466" s="124"/>
      <c r="C466" s="93"/>
      <c r="D466" s="93"/>
      <c r="E466" s="639"/>
      <c r="F466" s="639"/>
      <c r="G466" s="124"/>
      <c r="H466" s="124"/>
      <c r="I466" s="93"/>
      <c r="J466" s="93"/>
      <c r="K466" s="639"/>
      <c r="L466" s="639"/>
    </row>
    <row r="467" spans="1:12" s="90" customFormat="1" ht="12.75" customHeight="1" thickBot="1">
      <c r="A467" s="90" t="s">
        <v>263</v>
      </c>
      <c r="B467" s="124"/>
      <c r="E467" s="93"/>
      <c r="F467" s="93"/>
      <c r="G467" s="124"/>
      <c r="H467" s="124"/>
      <c r="I467" s="595"/>
      <c r="J467" s="595"/>
      <c r="K467" s="93"/>
      <c r="L467" s="596" t="s">
        <v>216</v>
      </c>
    </row>
    <row r="468" spans="1:12" s="90" customFormat="1" ht="24.75" customHeight="1">
      <c r="A468" s="96"/>
      <c r="B468" s="97" t="s">
        <v>104</v>
      </c>
      <c r="C468" s="86" t="s">
        <v>227</v>
      </c>
      <c r="D468" s="86" t="s">
        <v>844</v>
      </c>
      <c r="E468" s="86" t="s">
        <v>303</v>
      </c>
      <c r="F468" s="87" t="s">
        <v>304</v>
      </c>
      <c r="G468" s="96">
        <v>43</v>
      </c>
      <c r="H468" s="97" t="s">
        <v>105</v>
      </c>
      <c r="I468" s="86" t="s">
        <v>227</v>
      </c>
      <c r="J468" s="86" t="s">
        <v>844</v>
      </c>
      <c r="K468" s="86" t="s">
        <v>303</v>
      </c>
      <c r="L468" s="87" t="s">
        <v>304</v>
      </c>
    </row>
    <row r="469" spans="1:12" s="90" customFormat="1" ht="12.75" customHeight="1">
      <c r="A469" s="99" t="s">
        <v>23</v>
      </c>
      <c r="B469" s="100" t="s">
        <v>108</v>
      </c>
      <c r="C469" s="101"/>
      <c r="D469" s="101"/>
      <c r="E469" s="101"/>
      <c r="F469" s="102"/>
      <c r="G469" s="99" t="s">
        <v>23</v>
      </c>
      <c r="H469" s="100" t="s">
        <v>129</v>
      </c>
      <c r="I469" s="101">
        <f>SUM(I470:I474)</f>
        <v>6085714</v>
      </c>
      <c r="J469" s="101">
        <f>SUM(J470:J474)</f>
        <v>6085714</v>
      </c>
      <c r="K469" s="101">
        <f>SUM(K470:K474)</f>
        <v>21262</v>
      </c>
      <c r="L469" s="102">
        <f>+K469/J469</f>
        <v>0.003493756032570706</v>
      </c>
    </row>
    <row r="470" spans="1:12" s="90" customFormat="1" ht="12.75" customHeight="1">
      <c r="A470" s="99" t="s">
        <v>111</v>
      </c>
      <c r="B470" s="116" t="s">
        <v>209</v>
      </c>
      <c r="C470" s="106"/>
      <c r="D470" s="106"/>
      <c r="E470" s="106"/>
      <c r="F470" s="599"/>
      <c r="G470" s="99" t="s">
        <v>111</v>
      </c>
      <c r="H470" s="116" t="s">
        <v>80</v>
      </c>
      <c r="I470" s="106">
        <v>1473378</v>
      </c>
      <c r="J470" s="106">
        <v>1473378</v>
      </c>
      <c r="K470" s="106">
        <v>18095</v>
      </c>
      <c r="L470" s="599">
        <f>+K470/J470</f>
        <v>0.012281301879083304</v>
      </c>
    </row>
    <row r="471" spans="1:12" s="90" customFormat="1" ht="12.75" customHeight="1">
      <c r="A471" s="99"/>
      <c r="B471" s="116" t="s">
        <v>210</v>
      </c>
      <c r="C471" s="106"/>
      <c r="D471" s="106"/>
      <c r="E471" s="106"/>
      <c r="F471" s="599"/>
      <c r="G471" s="99" t="s">
        <v>112</v>
      </c>
      <c r="H471" s="116" t="s">
        <v>147</v>
      </c>
      <c r="I471" s="106">
        <v>378036</v>
      </c>
      <c r="J471" s="106">
        <v>378036</v>
      </c>
      <c r="K471" s="106">
        <v>3167</v>
      </c>
      <c r="L471" s="599">
        <f>+K471/J471</f>
        <v>0.008377509020304945</v>
      </c>
    </row>
    <row r="472" spans="1:12" s="90" customFormat="1" ht="12.75" customHeight="1">
      <c r="A472" s="99" t="s">
        <v>112</v>
      </c>
      <c r="B472" s="116" t="s">
        <v>9</v>
      </c>
      <c r="C472" s="106"/>
      <c r="D472" s="106"/>
      <c r="E472" s="106"/>
      <c r="F472" s="599"/>
      <c r="G472" s="99" t="s">
        <v>113</v>
      </c>
      <c r="H472" s="116" t="s">
        <v>83</v>
      </c>
      <c r="I472" s="106">
        <f>900206+3334094</f>
        <v>4234300</v>
      </c>
      <c r="J472" s="106">
        <f>900206+3334094</f>
        <v>4234300</v>
      </c>
      <c r="K472" s="106">
        <v>0</v>
      </c>
      <c r="L472" s="599">
        <f>+K472/J472</f>
        <v>0</v>
      </c>
    </row>
    <row r="473" spans="1:12" s="90" customFormat="1" ht="12.75" customHeight="1">
      <c r="A473" s="99" t="s">
        <v>113</v>
      </c>
      <c r="B473" s="116" t="s">
        <v>170</v>
      </c>
      <c r="C473" s="106"/>
      <c r="D473" s="106"/>
      <c r="E473" s="106"/>
      <c r="F473" s="599"/>
      <c r="G473" s="99" t="s">
        <v>114</v>
      </c>
      <c r="H473" s="116" t="s">
        <v>84</v>
      </c>
      <c r="I473" s="106"/>
      <c r="J473" s="106"/>
      <c r="K473" s="106"/>
      <c r="L473" s="599"/>
    </row>
    <row r="474" spans="1:12" s="90" customFormat="1" ht="12.75" customHeight="1">
      <c r="A474" s="99" t="s">
        <v>114</v>
      </c>
      <c r="B474" s="116" t="s">
        <v>181</v>
      </c>
      <c r="C474" s="106"/>
      <c r="D474" s="106"/>
      <c r="E474" s="106"/>
      <c r="F474" s="599"/>
      <c r="G474" s="99" t="s">
        <v>115</v>
      </c>
      <c r="H474" s="116" t="s">
        <v>211</v>
      </c>
      <c r="I474" s="106"/>
      <c r="J474" s="106"/>
      <c r="K474" s="106"/>
      <c r="L474" s="599"/>
    </row>
    <row r="475" spans="1:12" s="90" customFormat="1" ht="12.75" customHeight="1">
      <c r="A475" s="112" t="s">
        <v>45</v>
      </c>
      <c r="B475" s="100" t="s">
        <v>118</v>
      </c>
      <c r="C475" s="101"/>
      <c r="D475" s="101"/>
      <c r="E475" s="101"/>
      <c r="F475" s="102"/>
      <c r="G475" s="112" t="s">
        <v>45</v>
      </c>
      <c r="H475" s="100" t="s">
        <v>130</v>
      </c>
      <c r="I475" s="101"/>
      <c r="J475" s="101"/>
      <c r="K475" s="101"/>
      <c r="L475" s="102"/>
    </row>
    <row r="476" spans="1:12" s="90" customFormat="1" ht="12.75" customHeight="1">
      <c r="A476" s="112" t="s">
        <v>111</v>
      </c>
      <c r="B476" s="100" t="s">
        <v>106</v>
      </c>
      <c r="C476" s="106"/>
      <c r="D476" s="106"/>
      <c r="E476" s="106"/>
      <c r="F476" s="599"/>
      <c r="G476" s="112" t="s">
        <v>111</v>
      </c>
      <c r="H476" s="100" t="s">
        <v>131</v>
      </c>
      <c r="I476" s="106"/>
      <c r="J476" s="106"/>
      <c r="K476" s="106"/>
      <c r="L476" s="599"/>
    </row>
    <row r="477" spans="1:12" s="90" customFormat="1" ht="12.75" customHeight="1">
      <c r="A477" s="112" t="s">
        <v>112</v>
      </c>
      <c r="B477" s="100" t="s">
        <v>39</v>
      </c>
      <c r="C477" s="106"/>
      <c r="D477" s="106"/>
      <c r="E477" s="106"/>
      <c r="F477" s="599"/>
      <c r="G477" s="112" t="s">
        <v>112</v>
      </c>
      <c r="H477" s="100" t="s">
        <v>87</v>
      </c>
      <c r="I477" s="106"/>
      <c r="J477" s="106"/>
      <c r="K477" s="106"/>
      <c r="L477" s="599"/>
    </row>
    <row r="478" spans="1:12" s="90" customFormat="1" ht="12.75" customHeight="1">
      <c r="A478" s="112" t="s">
        <v>113</v>
      </c>
      <c r="B478" s="100" t="s">
        <v>201</v>
      </c>
      <c r="C478" s="106"/>
      <c r="D478" s="106"/>
      <c r="E478" s="106"/>
      <c r="F478" s="599"/>
      <c r="G478" s="112" t="s">
        <v>113</v>
      </c>
      <c r="H478" s="100" t="s">
        <v>90</v>
      </c>
      <c r="I478" s="106"/>
      <c r="J478" s="106"/>
      <c r="K478" s="106"/>
      <c r="L478" s="599"/>
    </row>
    <row r="479" spans="1:12" s="90" customFormat="1" ht="12.75" customHeight="1">
      <c r="A479" s="112" t="s">
        <v>56</v>
      </c>
      <c r="B479" s="100" t="s">
        <v>126</v>
      </c>
      <c r="C479" s="101">
        <v>6085714</v>
      </c>
      <c r="D479" s="101">
        <v>6085714</v>
      </c>
      <c r="E479" s="101">
        <v>6085714</v>
      </c>
      <c r="F479" s="102">
        <f>+E479/D479</f>
        <v>1</v>
      </c>
      <c r="G479" s="112" t="s">
        <v>56</v>
      </c>
      <c r="H479" s="100" t="s">
        <v>132</v>
      </c>
      <c r="I479" s="101"/>
      <c r="J479" s="101"/>
      <c r="K479" s="101"/>
      <c r="L479" s="102"/>
    </row>
    <row r="480" spans="1:12" s="90" customFormat="1" ht="12.75" customHeight="1">
      <c r="A480" s="99" t="s">
        <v>64</v>
      </c>
      <c r="B480" s="116" t="s">
        <v>127</v>
      </c>
      <c r="C480" s="101"/>
      <c r="D480" s="101"/>
      <c r="E480" s="101"/>
      <c r="F480" s="102"/>
      <c r="G480" s="99" t="s">
        <v>64</v>
      </c>
      <c r="H480" s="116" t="s">
        <v>133</v>
      </c>
      <c r="I480" s="101"/>
      <c r="J480" s="101"/>
      <c r="K480" s="101"/>
      <c r="L480" s="102"/>
    </row>
    <row r="481" spans="1:12" s="124" customFormat="1" ht="12.75" customHeight="1" thickBot="1">
      <c r="A481" s="117"/>
      <c r="B481" s="118" t="s">
        <v>148</v>
      </c>
      <c r="C481" s="88">
        <f>+C469+C475+C479+C480</f>
        <v>6085714</v>
      </c>
      <c r="D481" s="88">
        <f>+D469+D475+D479+D480</f>
        <v>6085714</v>
      </c>
      <c r="E481" s="88">
        <f>+E469+E475+E479+E480</f>
        <v>6085714</v>
      </c>
      <c r="F481" s="119">
        <f>+E481/D481</f>
        <v>1</v>
      </c>
      <c r="G481" s="117"/>
      <c r="H481" s="118" t="s">
        <v>149</v>
      </c>
      <c r="I481" s="88">
        <f>I469+I475+I479+I480</f>
        <v>6085714</v>
      </c>
      <c r="J481" s="88">
        <f>J469+J475+J479+J480</f>
        <v>6085714</v>
      </c>
      <c r="K481" s="88">
        <f>K469+K475+K479+K480</f>
        <v>21262</v>
      </c>
      <c r="L481" s="119">
        <f>+K481/J481</f>
        <v>0.003493756032570706</v>
      </c>
    </row>
    <row r="482" spans="1:12" s="126" customFormat="1" ht="12.75" customHeight="1">
      <c r="A482" s="124"/>
      <c r="B482" s="124"/>
      <c r="C482" s="93"/>
      <c r="D482" s="93"/>
      <c r="E482" s="595"/>
      <c r="F482" s="595"/>
      <c r="G482" s="124"/>
      <c r="H482" s="124"/>
      <c r="I482" s="93"/>
      <c r="J482" s="93"/>
      <c r="K482" s="595"/>
      <c r="L482" s="595"/>
    </row>
    <row r="483" spans="1:12" s="90" customFormat="1" ht="12.75" customHeight="1" thickBot="1">
      <c r="A483" s="90" t="s">
        <v>801</v>
      </c>
      <c r="B483" s="124"/>
      <c r="C483" s="93"/>
      <c r="D483" s="93"/>
      <c r="E483" s="93"/>
      <c r="F483" s="93"/>
      <c r="G483" s="124"/>
      <c r="H483" s="124"/>
      <c r="I483" s="595"/>
      <c r="J483" s="595"/>
      <c r="K483" s="93"/>
      <c r="L483" s="596" t="s">
        <v>216</v>
      </c>
    </row>
    <row r="484" spans="1:12" s="90" customFormat="1" ht="24.75" customHeight="1">
      <c r="A484" s="96"/>
      <c r="B484" s="97" t="s">
        <v>104</v>
      </c>
      <c r="C484" s="86" t="s">
        <v>227</v>
      </c>
      <c r="D484" s="86" t="s">
        <v>844</v>
      </c>
      <c r="E484" s="86" t="s">
        <v>303</v>
      </c>
      <c r="F484" s="87" t="s">
        <v>304</v>
      </c>
      <c r="G484" s="96">
        <v>44</v>
      </c>
      <c r="H484" s="97" t="s">
        <v>105</v>
      </c>
      <c r="I484" s="86" t="s">
        <v>227</v>
      </c>
      <c r="J484" s="86" t="s">
        <v>844</v>
      </c>
      <c r="K484" s="86" t="s">
        <v>303</v>
      </c>
      <c r="L484" s="87" t="s">
        <v>304</v>
      </c>
    </row>
    <row r="485" spans="1:12" s="90" customFormat="1" ht="12.75" customHeight="1">
      <c r="A485" s="99" t="s">
        <v>23</v>
      </c>
      <c r="B485" s="100" t="s">
        <v>108</v>
      </c>
      <c r="C485" s="101"/>
      <c r="D485" s="101"/>
      <c r="E485" s="101"/>
      <c r="F485" s="102"/>
      <c r="G485" s="99" t="s">
        <v>23</v>
      </c>
      <c r="H485" s="100" t="s">
        <v>129</v>
      </c>
      <c r="I485" s="101">
        <f>SUM(I486:I490)</f>
        <v>677041</v>
      </c>
      <c r="J485" s="101">
        <f>SUM(J486:J490)</f>
        <v>677041</v>
      </c>
      <c r="K485" s="101">
        <f>SUM(K486:K490)</f>
        <v>328554</v>
      </c>
      <c r="L485" s="102">
        <f>+K485/J485</f>
        <v>0.48527932577199906</v>
      </c>
    </row>
    <row r="486" spans="1:12" s="90" customFormat="1" ht="12.75" customHeight="1">
      <c r="A486" s="99" t="s">
        <v>111</v>
      </c>
      <c r="B486" s="116" t="s">
        <v>209</v>
      </c>
      <c r="C486" s="106"/>
      <c r="D486" s="106"/>
      <c r="E486" s="106"/>
      <c r="F486" s="599"/>
      <c r="G486" s="99" t="s">
        <v>111</v>
      </c>
      <c r="H486" s="116" t="s">
        <v>80</v>
      </c>
      <c r="I486" s="106">
        <v>448644</v>
      </c>
      <c r="J486" s="106">
        <v>448644</v>
      </c>
      <c r="K486" s="106">
        <v>280994</v>
      </c>
      <c r="L486" s="599">
        <f>+K486/J486</f>
        <v>0.6263184172751669</v>
      </c>
    </row>
    <row r="487" spans="1:12" s="90" customFormat="1" ht="12.75" customHeight="1">
      <c r="A487" s="99"/>
      <c r="B487" s="116" t="s">
        <v>210</v>
      </c>
      <c r="C487" s="106"/>
      <c r="D487" s="106"/>
      <c r="E487" s="106"/>
      <c r="F487" s="599"/>
      <c r="G487" s="99" t="s">
        <v>112</v>
      </c>
      <c r="H487" s="116" t="s">
        <v>147</v>
      </c>
      <c r="I487" s="106">
        <v>78513</v>
      </c>
      <c r="J487" s="106">
        <v>78513</v>
      </c>
      <c r="K487" s="106">
        <v>47560</v>
      </c>
      <c r="L487" s="599">
        <f>+K487/J487</f>
        <v>0.6057595557423612</v>
      </c>
    </row>
    <row r="488" spans="1:12" s="90" customFormat="1" ht="12.75" customHeight="1">
      <c r="A488" s="99" t="s">
        <v>112</v>
      </c>
      <c r="B488" s="116" t="s">
        <v>9</v>
      </c>
      <c r="C488" s="106"/>
      <c r="D488" s="106"/>
      <c r="E488" s="106"/>
      <c r="F488" s="599"/>
      <c r="G488" s="99" t="s">
        <v>113</v>
      </c>
      <c r="H488" s="116" t="s">
        <v>83</v>
      </c>
      <c r="I488" s="106">
        <f>136200+13684</f>
        <v>149884</v>
      </c>
      <c r="J488" s="106">
        <f>136200+13684</f>
        <v>149884</v>
      </c>
      <c r="K488" s="106">
        <v>0</v>
      </c>
      <c r="L488" s="599">
        <f>+K488/J488+IF(L488=0/0,0%)</f>
        <v>0</v>
      </c>
    </row>
    <row r="489" spans="1:12" s="90" customFormat="1" ht="12.75" customHeight="1">
      <c r="A489" s="99" t="s">
        <v>113</v>
      </c>
      <c r="B489" s="116" t="s">
        <v>170</v>
      </c>
      <c r="C489" s="106"/>
      <c r="D489" s="106"/>
      <c r="E489" s="106"/>
      <c r="F489" s="599"/>
      <c r="G489" s="99" t="s">
        <v>114</v>
      </c>
      <c r="H489" s="116" t="s">
        <v>84</v>
      </c>
      <c r="I489" s="106"/>
      <c r="J489" s="106"/>
      <c r="K489" s="106"/>
      <c r="L489" s="599"/>
    </row>
    <row r="490" spans="1:12" s="90" customFormat="1" ht="12.75" customHeight="1">
      <c r="A490" s="99" t="s">
        <v>114</v>
      </c>
      <c r="B490" s="116" t="s">
        <v>181</v>
      </c>
      <c r="C490" s="106"/>
      <c r="D490" s="106"/>
      <c r="E490" s="106"/>
      <c r="F490" s="599"/>
      <c r="G490" s="99" t="s">
        <v>115</v>
      </c>
      <c r="H490" s="116" t="s">
        <v>211</v>
      </c>
      <c r="I490" s="106"/>
      <c r="J490" s="106"/>
      <c r="K490" s="106"/>
      <c r="L490" s="599"/>
    </row>
    <row r="491" spans="1:12" s="90" customFormat="1" ht="12.75" customHeight="1">
      <c r="A491" s="112" t="s">
        <v>45</v>
      </c>
      <c r="B491" s="100" t="s">
        <v>118</v>
      </c>
      <c r="C491" s="101"/>
      <c r="D491" s="101"/>
      <c r="E491" s="101"/>
      <c r="F491" s="102"/>
      <c r="G491" s="112" t="s">
        <v>45</v>
      </c>
      <c r="H491" s="100" t="s">
        <v>130</v>
      </c>
      <c r="I491" s="101"/>
      <c r="J491" s="101"/>
      <c r="K491" s="101"/>
      <c r="L491" s="102"/>
    </row>
    <row r="492" spans="1:12" s="90" customFormat="1" ht="12.75" customHeight="1">
      <c r="A492" s="112" t="s">
        <v>111</v>
      </c>
      <c r="B492" s="100" t="s">
        <v>106</v>
      </c>
      <c r="C492" s="106"/>
      <c r="D492" s="106"/>
      <c r="E492" s="106"/>
      <c r="F492" s="599"/>
      <c r="G492" s="112" t="s">
        <v>111</v>
      </c>
      <c r="H492" s="100" t="s">
        <v>131</v>
      </c>
      <c r="I492" s="106"/>
      <c r="J492" s="106"/>
      <c r="K492" s="106"/>
      <c r="L492" s="599"/>
    </row>
    <row r="493" spans="1:12" s="90" customFormat="1" ht="12.75" customHeight="1">
      <c r="A493" s="112" t="s">
        <v>112</v>
      </c>
      <c r="B493" s="100" t="s">
        <v>39</v>
      </c>
      <c r="C493" s="106"/>
      <c r="D493" s="106"/>
      <c r="E493" s="106"/>
      <c r="F493" s="599"/>
      <c r="G493" s="112" t="s">
        <v>112</v>
      </c>
      <c r="H493" s="100" t="s">
        <v>87</v>
      </c>
      <c r="I493" s="106"/>
      <c r="J493" s="106"/>
      <c r="K493" s="106"/>
      <c r="L493" s="599"/>
    </row>
    <row r="494" spans="1:12" s="90" customFormat="1" ht="12.75" customHeight="1">
      <c r="A494" s="112" t="s">
        <v>113</v>
      </c>
      <c r="B494" s="100" t="s">
        <v>201</v>
      </c>
      <c r="C494" s="106"/>
      <c r="D494" s="106"/>
      <c r="E494" s="106"/>
      <c r="F494" s="599"/>
      <c r="G494" s="112" t="s">
        <v>113</v>
      </c>
      <c r="H494" s="100" t="s">
        <v>90</v>
      </c>
      <c r="I494" s="106"/>
      <c r="J494" s="106"/>
      <c r="K494" s="106"/>
      <c r="L494" s="599"/>
    </row>
    <row r="495" spans="1:12" s="90" customFormat="1" ht="12.75" customHeight="1">
      <c r="A495" s="112" t="s">
        <v>56</v>
      </c>
      <c r="B495" s="100" t="s">
        <v>126</v>
      </c>
      <c r="C495" s="101">
        <v>677041</v>
      </c>
      <c r="D495" s="101">
        <v>677041</v>
      </c>
      <c r="E495" s="101">
        <v>677041</v>
      </c>
      <c r="F495" s="102">
        <f>+E495/D495</f>
        <v>1</v>
      </c>
      <c r="G495" s="112" t="s">
        <v>56</v>
      </c>
      <c r="H495" s="100" t="s">
        <v>132</v>
      </c>
      <c r="I495" s="101"/>
      <c r="J495" s="101"/>
      <c r="K495" s="101"/>
      <c r="L495" s="102"/>
    </row>
    <row r="496" spans="1:12" s="90" customFormat="1" ht="12.75" customHeight="1">
      <c r="A496" s="99" t="s">
        <v>64</v>
      </c>
      <c r="B496" s="116" t="s">
        <v>127</v>
      </c>
      <c r="C496" s="101"/>
      <c r="D496" s="101"/>
      <c r="E496" s="101"/>
      <c r="F496" s="102"/>
      <c r="G496" s="99" t="s">
        <v>64</v>
      </c>
      <c r="H496" s="116" t="s">
        <v>133</v>
      </c>
      <c r="I496" s="101"/>
      <c r="J496" s="101"/>
      <c r="K496" s="101"/>
      <c r="L496" s="102"/>
    </row>
    <row r="497" spans="1:12" s="124" customFormat="1" ht="12.75" customHeight="1" thickBot="1">
      <c r="A497" s="117"/>
      <c r="B497" s="118" t="s">
        <v>148</v>
      </c>
      <c r="C497" s="88">
        <f>+C485+C491+C495+C496</f>
        <v>677041</v>
      </c>
      <c r="D497" s="88">
        <f>+D485+D491+D495+D496</f>
        <v>677041</v>
      </c>
      <c r="E497" s="88">
        <f>+E485+E491+E495+E496</f>
        <v>677041</v>
      </c>
      <c r="F497" s="119">
        <f>+E497/D497</f>
        <v>1</v>
      </c>
      <c r="G497" s="117"/>
      <c r="H497" s="118" t="s">
        <v>149</v>
      </c>
      <c r="I497" s="88">
        <f>I485+I491+I495+I496</f>
        <v>677041</v>
      </c>
      <c r="J497" s="88">
        <f>J485+J491+J495+J496</f>
        <v>677041</v>
      </c>
      <c r="K497" s="88">
        <f>K485+K491+K495+K496</f>
        <v>328554</v>
      </c>
      <c r="L497" s="119">
        <f>+K497/J497</f>
        <v>0.48527932577199906</v>
      </c>
    </row>
    <row r="498" spans="1:12" s="126" customFormat="1" ht="12.75" customHeight="1">
      <c r="A498" s="124"/>
      <c r="B498" s="124"/>
      <c r="C498" s="93"/>
      <c r="D498" s="93"/>
      <c r="E498" s="93"/>
      <c r="F498" s="93"/>
      <c r="G498" s="124"/>
      <c r="H498" s="124"/>
      <c r="I498" s="93"/>
      <c r="J498" s="93"/>
      <c r="K498" s="93"/>
      <c r="L498" s="93"/>
    </row>
    <row r="499" spans="1:12" s="90" customFormat="1" ht="12.75" customHeight="1" thickBot="1">
      <c r="A499" s="90" t="s">
        <v>802</v>
      </c>
      <c r="B499" s="124"/>
      <c r="C499" s="93"/>
      <c r="D499" s="93"/>
      <c r="E499" s="93"/>
      <c r="F499" s="93"/>
      <c r="G499" s="124"/>
      <c r="H499" s="124"/>
      <c r="I499" s="595"/>
      <c r="J499" s="595"/>
      <c r="K499" s="93"/>
      <c r="L499" s="596" t="s">
        <v>216</v>
      </c>
    </row>
    <row r="500" spans="1:12" s="90" customFormat="1" ht="24.75" customHeight="1">
      <c r="A500" s="96"/>
      <c r="B500" s="97" t="s">
        <v>104</v>
      </c>
      <c r="C500" s="86" t="s">
        <v>227</v>
      </c>
      <c r="D500" s="86" t="s">
        <v>844</v>
      </c>
      <c r="E500" s="86" t="s">
        <v>303</v>
      </c>
      <c r="F500" s="87" t="s">
        <v>304</v>
      </c>
      <c r="G500" s="96">
        <v>117</v>
      </c>
      <c r="H500" s="97" t="s">
        <v>105</v>
      </c>
      <c r="I500" s="86" t="s">
        <v>227</v>
      </c>
      <c r="J500" s="86" t="s">
        <v>844</v>
      </c>
      <c r="K500" s="86" t="s">
        <v>303</v>
      </c>
      <c r="L500" s="87" t="s">
        <v>304</v>
      </c>
    </row>
    <row r="501" spans="1:12" s="90" customFormat="1" ht="12.75" customHeight="1">
      <c r="A501" s="99" t="s">
        <v>23</v>
      </c>
      <c r="B501" s="100" t="s">
        <v>108</v>
      </c>
      <c r="C501" s="101"/>
      <c r="D501" s="101"/>
      <c r="E501" s="101"/>
      <c r="F501" s="102"/>
      <c r="G501" s="99" t="s">
        <v>23</v>
      </c>
      <c r="H501" s="100" t="s">
        <v>129</v>
      </c>
      <c r="I501" s="101">
        <f>SUM(I502:I506)</f>
        <v>7462360</v>
      </c>
      <c r="J501" s="101">
        <f>SUM(J502:J506)</f>
        <v>7462360</v>
      </c>
      <c r="K501" s="101">
        <f>SUM(K502:K506)</f>
        <v>1399739</v>
      </c>
      <c r="L501" s="102">
        <f>+K501/J501</f>
        <v>0.1875732342047288</v>
      </c>
    </row>
    <row r="502" spans="1:12" s="90" customFormat="1" ht="12.75" customHeight="1">
      <c r="A502" s="99" t="s">
        <v>111</v>
      </c>
      <c r="B502" s="116" t="s">
        <v>209</v>
      </c>
      <c r="C502" s="106"/>
      <c r="D502" s="106"/>
      <c r="E502" s="106"/>
      <c r="F502" s="599"/>
      <c r="G502" s="99" t="s">
        <v>111</v>
      </c>
      <c r="H502" s="116" t="s">
        <v>80</v>
      </c>
      <c r="I502" s="106">
        <v>3667759</v>
      </c>
      <c r="J502" s="106">
        <v>3667759</v>
      </c>
      <c r="K502" s="106">
        <v>1191267</v>
      </c>
      <c r="L502" s="599">
        <f>+K502/J502</f>
        <v>0.324794240842978</v>
      </c>
    </row>
    <row r="503" spans="1:12" s="90" customFormat="1" ht="12.75" customHeight="1">
      <c r="A503" s="99"/>
      <c r="B503" s="116" t="s">
        <v>210</v>
      </c>
      <c r="C503" s="106"/>
      <c r="D503" s="106"/>
      <c r="E503" s="106"/>
      <c r="F503" s="599"/>
      <c r="G503" s="99" t="s">
        <v>112</v>
      </c>
      <c r="H503" s="116" t="s">
        <v>147</v>
      </c>
      <c r="I503" s="106">
        <v>727792</v>
      </c>
      <c r="J503" s="106">
        <v>727792</v>
      </c>
      <c r="K503" s="106">
        <v>208472</v>
      </c>
      <c r="L503" s="599">
        <f>+K503/J503</f>
        <v>0.2864444786422494</v>
      </c>
    </row>
    <row r="504" spans="1:12" s="90" customFormat="1" ht="12.75" customHeight="1">
      <c r="A504" s="99" t="s">
        <v>112</v>
      </c>
      <c r="B504" s="116" t="s">
        <v>9</v>
      </c>
      <c r="C504" s="106"/>
      <c r="D504" s="106"/>
      <c r="E504" s="106"/>
      <c r="F504" s="599"/>
      <c r="G504" s="99" t="s">
        <v>113</v>
      </c>
      <c r="H504" s="116" t="s">
        <v>83</v>
      </c>
      <c r="I504" s="106">
        <f>3126245-59436</f>
        <v>3066809</v>
      </c>
      <c r="J504" s="106">
        <f>3126245-59436</f>
        <v>3066809</v>
      </c>
      <c r="K504" s="106">
        <v>0</v>
      </c>
      <c r="L504" s="599">
        <f>+K504/J504</f>
        <v>0</v>
      </c>
    </row>
    <row r="505" spans="1:12" s="90" customFormat="1" ht="12.75" customHeight="1">
      <c r="A505" s="99" t="s">
        <v>113</v>
      </c>
      <c r="B505" s="116" t="s">
        <v>170</v>
      </c>
      <c r="C505" s="106"/>
      <c r="D505" s="106"/>
      <c r="E505" s="106"/>
      <c r="F505" s="599"/>
      <c r="G505" s="99" t="s">
        <v>114</v>
      </c>
      <c r="H505" s="116" t="s">
        <v>84</v>
      </c>
      <c r="I505" s="106"/>
      <c r="J505" s="106"/>
      <c r="K505" s="106"/>
      <c r="L505" s="599"/>
    </row>
    <row r="506" spans="1:12" s="90" customFormat="1" ht="12.75" customHeight="1">
      <c r="A506" s="99" t="s">
        <v>114</v>
      </c>
      <c r="B506" s="116" t="s">
        <v>181</v>
      </c>
      <c r="C506" s="106"/>
      <c r="D506" s="106"/>
      <c r="E506" s="106"/>
      <c r="F506" s="599"/>
      <c r="G506" s="99" t="s">
        <v>115</v>
      </c>
      <c r="H506" s="116" t="s">
        <v>211</v>
      </c>
      <c r="I506" s="106"/>
      <c r="J506" s="106"/>
      <c r="K506" s="106"/>
      <c r="L506" s="599"/>
    </row>
    <row r="507" spans="1:12" s="90" customFormat="1" ht="12.75" customHeight="1">
      <c r="A507" s="112" t="s">
        <v>45</v>
      </c>
      <c r="B507" s="100" t="s">
        <v>118</v>
      </c>
      <c r="C507" s="101"/>
      <c r="D507" s="101"/>
      <c r="E507" s="101"/>
      <c r="F507" s="102"/>
      <c r="G507" s="112" t="s">
        <v>45</v>
      </c>
      <c r="H507" s="100" t="s">
        <v>130</v>
      </c>
      <c r="I507" s="101"/>
      <c r="J507" s="101"/>
      <c r="K507" s="101"/>
      <c r="L507" s="102"/>
    </row>
    <row r="508" spans="1:12" s="90" customFormat="1" ht="12.75" customHeight="1">
      <c r="A508" s="112" t="s">
        <v>111</v>
      </c>
      <c r="B508" s="100" t="s">
        <v>106</v>
      </c>
      <c r="C508" s="106"/>
      <c r="D508" s="106"/>
      <c r="E508" s="106"/>
      <c r="F508" s="599"/>
      <c r="G508" s="112" t="s">
        <v>111</v>
      </c>
      <c r="H508" s="100" t="s">
        <v>131</v>
      </c>
      <c r="I508" s="106"/>
      <c r="J508" s="106"/>
      <c r="K508" s="106"/>
      <c r="L508" s="599"/>
    </row>
    <row r="509" spans="1:12" s="90" customFormat="1" ht="12.75" customHeight="1">
      <c r="A509" s="112" t="s">
        <v>112</v>
      </c>
      <c r="B509" s="100" t="s">
        <v>39</v>
      </c>
      <c r="C509" s="106"/>
      <c r="D509" s="106"/>
      <c r="E509" s="106"/>
      <c r="F509" s="599"/>
      <c r="G509" s="112" t="s">
        <v>112</v>
      </c>
      <c r="H509" s="100" t="s">
        <v>87</v>
      </c>
      <c r="I509" s="106"/>
      <c r="J509" s="106"/>
      <c r="K509" s="106"/>
      <c r="L509" s="599"/>
    </row>
    <row r="510" spans="1:12" s="90" customFormat="1" ht="12.75" customHeight="1">
      <c r="A510" s="112" t="s">
        <v>113</v>
      </c>
      <c r="B510" s="100" t="s">
        <v>201</v>
      </c>
      <c r="C510" s="106"/>
      <c r="D510" s="106"/>
      <c r="E510" s="106"/>
      <c r="F510" s="599"/>
      <c r="G510" s="112" t="s">
        <v>113</v>
      </c>
      <c r="H510" s="100" t="s">
        <v>90</v>
      </c>
      <c r="I510" s="106"/>
      <c r="J510" s="106"/>
      <c r="K510" s="106"/>
      <c r="L510" s="599"/>
    </row>
    <row r="511" spans="1:12" s="90" customFormat="1" ht="12.75" customHeight="1">
      <c r="A511" s="112" t="s">
        <v>56</v>
      </c>
      <c r="B511" s="100" t="s">
        <v>126</v>
      </c>
      <c r="C511" s="101">
        <v>7462360</v>
      </c>
      <c r="D511" s="101">
        <v>7462360</v>
      </c>
      <c r="E511" s="101">
        <v>7462360</v>
      </c>
      <c r="F511" s="102">
        <f>+E511/D511</f>
        <v>1</v>
      </c>
      <c r="G511" s="112" t="s">
        <v>56</v>
      </c>
      <c r="H511" s="100" t="s">
        <v>132</v>
      </c>
      <c r="I511" s="101"/>
      <c r="J511" s="101"/>
      <c r="K511" s="101"/>
      <c r="L511" s="102"/>
    </row>
    <row r="512" spans="1:12" s="90" customFormat="1" ht="12.75" customHeight="1">
      <c r="A512" s="99" t="s">
        <v>64</v>
      </c>
      <c r="B512" s="116" t="s">
        <v>127</v>
      </c>
      <c r="C512" s="101"/>
      <c r="D512" s="101"/>
      <c r="E512" s="101"/>
      <c r="F512" s="102"/>
      <c r="G512" s="99" t="s">
        <v>64</v>
      </c>
      <c r="H512" s="116" t="s">
        <v>133</v>
      </c>
      <c r="I512" s="101"/>
      <c r="J512" s="101"/>
      <c r="K512" s="101"/>
      <c r="L512" s="102"/>
    </row>
    <row r="513" spans="1:12" s="124" customFormat="1" ht="12.75" customHeight="1" thickBot="1">
      <c r="A513" s="117"/>
      <c r="B513" s="118" t="s">
        <v>148</v>
      </c>
      <c r="C513" s="88">
        <f>+C501+C507+C511+C512</f>
        <v>7462360</v>
      </c>
      <c r="D513" s="88">
        <f>+D501+D507+D511+D512</f>
        <v>7462360</v>
      </c>
      <c r="E513" s="88">
        <f>+E501+E507+E511+E512</f>
        <v>7462360</v>
      </c>
      <c r="F513" s="119">
        <f>+E513/D513</f>
        <v>1</v>
      </c>
      <c r="G513" s="117"/>
      <c r="H513" s="118" t="s">
        <v>149</v>
      </c>
      <c r="I513" s="88">
        <f>I501+I507+I511+I512</f>
        <v>7462360</v>
      </c>
      <c r="J513" s="88">
        <f>J501+J507+J511+J512</f>
        <v>7462360</v>
      </c>
      <c r="K513" s="88">
        <f>K501+K507+K511+K512</f>
        <v>1399739</v>
      </c>
      <c r="L513" s="119">
        <f>+K513/J513</f>
        <v>0.1875732342047288</v>
      </c>
    </row>
    <row r="514" spans="1:12" s="126" customFormat="1" ht="12.75" customHeight="1">
      <c r="A514" s="124"/>
      <c r="B514" s="124"/>
      <c r="C514" s="93"/>
      <c r="D514" s="93"/>
      <c r="E514" s="93"/>
      <c r="F514" s="93"/>
      <c r="G514" s="124"/>
      <c r="H514" s="124"/>
      <c r="I514" s="93"/>
      <c r="J514" s="93"/>
      <c r="K514" s="93"/>
      <c r="L514" s="93"/>
    </row>
    <row r="515" spans="1:12" s="90" customFormat="1" ht="12.75" customHeight="1" thickBot="1">
      <c r="A515" s="90" t="s">
        <v>803</v>
      </c>
      <c r="B515" s="124"/>
      <c r="C515" s="93"/>
      <c r="D515" s="93"/>
      <c r="E515" s="93"/>
      <c r="F515" s="93"/>
      <c r="G515" s="124"/>
      <c r="H515" s="124"/>
      <c r="I515" s="595"/>
      <c r="J515" s="595"/>
      <c r="K515" s="93"/>
      <c r="L515" s="596" t="s">
        <v>216</v>
      </c>
    </row>
    <row r="516" spans="1:12" s="90" customFormat="1" ht="24.75" customHeight="1">
      <c r="A516" s="96"/>
      <c r="B516" s="97" t="s">
        <v>104</v>
      </c>
      <c r="C516" s="86" t="s">
        <v>227</v>
      </c>
      <c r="D516" s="86" t="s">
        <v>844</v>
      </c>
      <c r="E516" s="86" t="s">
        <v>303</v>
      </c>
      <c r="F516" s="87" t="s">
        <v>304</v>
      </c>
      <c r="G516" s="96">
        <v>45</v>
      </c>
      <c r="H516" s="97" t="s">
        <v>105</v>
      </c>
      <c r="I516" s="86" t="s">
        <v>227</v>
      </c>
      <c r="J516" s="86" t="s">
        <v>844</v>
      </c>
      <c r="K516" s="86" t="s">
        <v>303</v>
      </c>
      <c r="L516" s="87" t="s">
        <v>304</v>
      </c>
    </row>
    <row r="517" spans="1:12" s="90" customFormat="1" ht="12.75" customHeight="1">
      <c r="A517" s="99" t="s">
        <v>23</v>
      </c>
      <c r="B517" s="100" t="s">
        <v>108</v>
      </c>
      <c r="C517" s="101"/>
      <c r="D517" s="101"/>
      <c r="E517" s="101"/>
      <c r="F517" s="102"/>
      <c r="G517" s="99" t="s">
        <v>23</v>
      </c>
      <c r="H517" s="100" t="s">
        <v>129</v>
      </c>
      <c r="I517" s="101">
        <f>SUM(I518:I522)</f>
        <v>114603</v>
      </c>
      <c r="J517" s="101">
        <f>SUM(J518:J522)</f>
        <v>114603</v>
      </c>
      <c r="K517" s="101">
        <v>0</v>
      </c>
      <c r="L517" s="102">
        <f>+K517/J517</f>
        <v>0</v>
      </c>
    </row>
    <row r="518" spans="1:12" s="90" customFormat="1" ht="12.75" customHeight="1">
      <c r="A518" s="99" t="s">
        <v>111</v>
      </c>
      <c r="B518" s="116" t="s">
        <v>209</v>
      </c>
      <c r="C518" s="106"/>
      <c r="D518" s="106"/>
      <c r="E518" s="106"/>
      <c r="F518" s="599"/>
      <c r="G518" s="99" t="s">
        <v>111</v>
      </c>
      <c r="H518" s="116" t="s">
        <v>80</v>
      </c>
      <c r="I518" s="106"/>
      <c r="J518" s="106"/>
      <c r="K518" s="106"/>
      <c r="L518" s="599"/>
    </row>
    <row r="519" spans="1:12" s="90" customFormat="1" ht="12.75" customHeight="1">
      <c r="A519" s="99"/>
      <c r="B519" s="116" t="s">
        <v>210</v>
      </c>
      <c r="C519" s="106"/>
      <c r="D519" s="106"/>
      <c r="E519" s="106"/>
      <c r="F519" s="599"/>
      <c r="G519" s="99" t="s">
        <v>112</v>
      </c>
      <c r="H519" s="116" t="s">
        <v>147</v>
      </c>
      <c r="I519" s="106">
        <v>569</v>
      </c>
      <c r="J519" s="106">
        <v>569</v>
      </c>
      <c r="K519" s="106">
        <v>0</v>
      </c>
      <c r="L519" s="599">
        <f>+K519/J519+IF(L519=0/0,0%)</f>
        <v>0</v>
      </c>
    </row>
    <row r="520" spans="1:12" s="90" customFormat="1" ht="12.75" customHeight="1">
      <c r="A520" s="99" t="s">
        <v>112</v>
      </c>
      <c r="B520" s="116" t="s">
        <v>9</v>
      </c>
      <c r="C520" s="106"/>
      <c r="D520" s="106"/>
      <c r="E520" s="106"/>
      <c r="F520" s="599"/>
      <c r="G520" s="99" t="s">
        <v>113</v>
      </c>
      <c r="H520" s="116" t="s">
        <v>83</v>
      </c>
      <c r="I520" s="106">
        <v>114034</v>
      </c>
      <c r="J520" s="106">
        <v>114034</v>
      </c>
      <c r="K520" s="106">
        <v>0</v>
      </c>
      <c r="L520" s="599">
        <f>+K520/J520+IF(L520=0/0,0%)</f>
        <v>0</v>
      </c>
    </row>
    <row r="521" spans="1:12" s="90" customFormat="1" ht="12.75" customHeight="1">
      <c r="A521" s="99" t="s">
        <v>113</v>
      </c>
      <c r="B521" s="116" t="s">
        <v>170</v>
      </c>
      <c r="C521" s="106"/>
      <c r="D521" s="106"/>
      <c r="E521" s="106"/>
      <c r="F521" s="599"/>
      <c r="G521" s="99" t="s">
        <v>114</v>
      </c>
      <c r="H521" s="116" t="s">
        <v>84</v>
      </c>
      <c r="I521" s="106"/>
      <c r="J521" s="106"/>
      <c r="K521" s="106"/>
      <c r="L521" s="599"/>
    </row>
    <row r="522" spans="1:12" s="90" customFormat="1" ht="12.75" customHeight="1">
      <c r="A522" s="99" t="s">
        <v>114</v>
      </c>
      <c r="B522" s="116" t="s">
        <v>181</v>
      </c>
      <c r="C522" s="106"/>
      <c r="D522" s="106"/>
      <c r="E522" s="106"/>
      <c r="F522" s="599"/>
      <c r="G522" s="99" t="s">
        <v>115</v>
      </c>
      <c r="H522" s="116" t="s">
        <v>211</v>
      </c>
      <c r="I522" s="106"/>
      <c r="J522" s="106"/>
      <c r="K522" s="106"/>
      <c r="L522" s="599"/>
    </row>
    <row r="523" spans="1:12" s="90" customFormat="1" ht="12.75" customHeight="1">
      <c r="A523" s="112" t="s">
        <v>45</v>
      </c>
      <c r="B523" s="100" t="s">
        <v>118</v>
      </c>
      <c r="C523" s="101"/>
      <c r="D523" s="101"/>
      <c r="E523" s="101"/>
      <c r="F523" s="102"/>
      <c r="G523" s="112" t="s">
        <v>45</v>
      </c>
      <c r="H523" s="100" t="s">
        <v>130</v>
      </c>
      <c r="I523" s="101"/>
      <c r="J523" s="101"/>
      <c r="K523" s="101"/>
      <c r="L523" s="102"/>
    </row>
    <row r="524" spans="1:12" s="90" customFormat="1" ht="12.75" customHeight="1">
      <c r="A524" s="112" t="s">
        <v>111</v>
      </c>
      <c r="B524" s="100" t="s">
        <v>106</v>
      </c>
      <c r="C524" s="106"/>
      <c r="D524" s="106"/>
      <c r="E524" s="106"/>
      <c r="F524" s="599"/>
      <c r="G524" s="112" t="s">
        <v>111</v>
      </c>
      <c r="H524" s="100" t="s">
        <v>131</v>
      </c>
      <c r="I524" s="106"/>
      <c r="J524" s="106"/>
      <c r="K524" s="106"/>
      <c r="L524" s="599"/>
    </row>
    <row r="525" spans="1:12" s="90" customFormat="1" ht="12.75" customHeight="1">
      <c r="A525" s="112" t="s">
        <v>112</v>
      </c>
      <c r="B525" s="100" t="s">
        <v>39</v>
      </c>
      <c r="C525" s="106"/>
      <c r="D525" s="106"/>
      <c r="E525" s="106"/>
      <c r="F525" s="599"/>
      <c r="G525" s="112" t="s">
        <v>112</v>
      </c>
      <c r="H525" s="100" t="s">
        <v>87</v>
      </c>
      <c r="I525" s="106"/>
      <c r="J525" s="106"/>
      <c r="K525" s="106"/>
      <c r="L525" s="599"/>
    </row>
    <row r="526" spans="1:12" s="90" customFormat="1" ht="12.75" customHeight="1">
      <c r="A526" s="112" t="s">
        <v>113</v>
      </c>
      <c r="B526" s="100" t="s">
        <v>201</v>
      </c>
      <c r="C526" s="106"/>
      <c r="D526" s="106"/>
      <c r="E526" s="106"/>
      <c r="F526" s="599"/>
      <c r="G526" s="112" t="s">
        <v>113</v>
      </c>
      <c r="H526" s="100" t="s">
        <v>90</v>
      </c>
      <c r="I526" s="106"/>
      <c r="J526" s="106"/>
      <c r="K526" s="106"/>
      <c r="L526" s="599"/>
    </row>
    <row r="527" spans="1:12" s="90" customFormat="1" ht="12.75" customHeight="1">
      <c r="A527" s="112" t="s">
        <v>56</v>
      </c>
      <c r="B527" s="100" t="s">
        <v>126</v>
      </c>
      <c r="C527" s="101">
        <v>114603</v>
      </c>
      <c r="D527" s="101">
        <v>114603</v>
      </c>
      <c r="E527" s="101">
        <v>114603</v>
      </c>
      <c r="F527" s="102">
        <f>+E527/D527</f>
        <v>1</v>
      </c>
      <c r="G527" s="112" t="s">
        <v>56</v>
      </c>
      <c r="H527" s="100" t="s">
        <v>132</v>
      </c>
      <c r="I527" s="101"/>
      <c r="J527" s="101"/>
      <c r="K527" s="101"/>
      <c r="L527" s="102"/>
    </row>
    <row r="528" spans="1:12" s="90" customFormat="1" ht="12.75" customHeight="1">
      <c r="A528" s="99" t="s">
        <v>64</v>
      </c>
      <c r="B528" s="116" t="s">
        <v>127</v>
      </c>
      <c r="C528" s="101"/>
      <c r="D528" s="101"/>
      <c r="E528" s="101"/>
      <c r="F528" s="102"/>
      <c r="G528" s="99" t="s">
        <v>64</v>
      </c>
      <c r="H528" s="116" t="s">
        <v>133</v>
      </c>
      <c r="I528" s="101"/>
      <c r="J528" s="101"/>
      <c r="K528" s="101"/>
      <c r="L528" s="102"/>
    </row>
    <row r="529" spans="1:12" s="124" customFormat="1" ht="12.75" customHeight="1" thickBot="1">
      <c r="A529" s="117"/>
      <c r="B529" s="118" t="s">
        <v>148</v>
      </c>
      <c r="C529" s="88">
        <f>+C517+C523+C527+C528</f>
        <v>114603</v>
      </c>
      <c r="D529" s="88">
        <f>+D517+D523+D527+D528</f>
        <v>114603</v>
      </c>
      <c r="E529" s="88">
        <f>+E517+E523+E527+E528</f>
        <v>114603</v>
      </c>
      <c r="F529" s="119">
        <f>+E529/D529</f>
        <v>1</v>
      </c>
      <c r="G529" s="117"/>
      <c r="H529" s="118" t="s">
        <v>149</v>
      </c>
      <c r="I529" s="88">
        <f>I517+I523+I527+I528</f>
        <v>114603</v>
      </c>
      <c r="J529" s="88">
        <f>J517+J523+J527+J528</f>
        <v>114603</v>
      </c>
      <c r="K529" s="88">
        <f>K517+K523+K527+K528</f>
        <v>0</v>
      </c>
      <c r="L529" s="119">
        <f>+K529/J529</f>
        <v>0</v>
      </c>
    </row>
    <row r="530" spans="1:12" s="126" customFormat="1" ht="15">
      <c r="A530" s="124"/>
      <c r="B530" s="124"/>
      <c r="C530" s="93"/>
      <c r="D530" s="93"/>
      <c r="E530" s="93"/>
      <c r="F530" s="93"/>
      <c r="G530" s="124"/>
      <c r="H530" s="124"/>
      <c r="I530" s="93"/>
      <c r="J530" s="93"/>
      <c r="K530" s="93"/>
      <c r="L530" s="93"/>
    </row>
    <row r="531" spans="1:12" s="90" customFormat="1" ht="12.75" customHeight="1" thickBot="1">
      <c r="A531" s="90" t="s">
        <v>270</v>
      </c>
      <c r="B531" s="124"/>
      <c r="C531" s="93"/>
      <c r="D531" s="93"/>
      <c r="E531" s="93"/>
      <c r="F531" s="93"/>
      <c r="G531" s="124"/>
      <c r="H531" s="124"/>
      <c r="I531" s="595"/>
      <c r="J531" s="595"/>
      <c r="K531" s="93"/>
      <c r="L531" s="596" t="s">
        <v>216</v>
      </c>
    </row>
    <row r="532" spans="1:12" s="90" customFormat="1" ht="24.75" customHeight="1">
      <c r="A532" s="96"/>
      <c r="B532" s="97" t="s">
        <v>104</v>
      </c>
      <c r="C532" s="86" t="s">
        <v>227</v>
      </c>
      <c r="D532" s="86" t="s">
        <v>844</v>
      </c>
      <c r="E532" s="86" t="s">
        <v>303</v>
      </c>
      <c r="F532" s="87" t="s">
        <v>304</v>
      </c>
      <c r="G532" s="96">
        <v>46</v>
      </c>
      <c r="H532" s="97" t="s">
        <v>105</v>
      </c>
      <c r="I532" s="86" t="s">
        <v>227</v>
      </c>
      <c r="J532" s="86" t="s">
        <v>844</v>
      </c>
      <c r="K532" s="86" t="s">
        <v>303</v>
      </c>
      <c r="L532" s="87" t="s">
        <v>304</v>
      </c>
    </row>
    <row r="533" spans="1:12" s="90" customFormat="1" ht="12.75" customHeight="1">
      <c r="A533" s="99" t="s">
        <v>23</v>
      </c>
      <c r="B533" s="100" t="s">
        <v>108</v>
      </c>
      <c r="C533" s="101"/>
      <c r="D533" s="101"/>
      <c r="E533" s="101"/>
      <c r="F533" s="102"/>
      <c r="G533" s="99" t="s">
        <v>23</v>
      </c>
      <c r="H533" s="100" t="s">
        <v>129</v>
      </c>
      <c r="I533" s="101">
        <f>SUM(I534:I538)</f>
        <v>160000</v>
      </c>
      <c r="J533" s="101">
        <f>SUM(J534:J538)</f>
        <v>160000</v>
      </c>
      <c r="K533" s="101">
        <f>SUM(K534:K538)</f>
        <v>160000</v>
      </c>
      <c r="L533" s="102">
        <f>K533/J533</f>
        <v>1</v>
      </c>
    </row>
    <row r="534" spans="1:12" s="90" customFormat="1" ht="12.75" customHeight="1">
      <c r="A534" s="99" t="s">
        <v>111</v>
      </c>
      <c r="B534" s="116" t="s">
        <v>209</v>
      </c>
      <c r="C534" s="106"/>
      <c r="D534" s="106"/>
      <c r="E534" s="106"/>
      <c r="F534" s="599"/>
      <c r="G534" s="99" t="s">
        <v>111</v>
      </c>
      <c r="H534" s="116" t="s">
        <v>80</v>
      </c>
      <c r="I534" s="106"/>
      <c r="J534" s="106"/>
      <c r="K534" s="106"/>
      <c r="L534" s="599"/>
    </row>
    <row r="535" spans="1:12" s="90" customFormat="1" ht="12.75" customHeight="1">
      <c r="A535" s="99"/>
      <c r="B535" s="116" t="s">
        <v>210</v>
      </c>
      <c r="C535" s="106"/>
      <c r="D535" s="106"/>
      <c r="E535" s="106"/>
      <c r="F535" s="599"/>
      <c r="G535" s="99" t="s">
        <v>112</v>
      </c>
      <c r="H535" s="116" t="s">
        <v>147</v>
      </c>
      <c r="I535" s="106"/>
      <c r="J535" s="106"/>
      <c r="K535" s="106"/>
      <c r="L535" s="599"/>
    </row>
    <row r="536" spans="1:12" s="90" customFormat="1" ht="12.75" customHeight="1">
      <c r="A536" s="99" t="s">
        <v>112</v>
      </c>
      <c r="B536" s="116" t="s">
        <v>9</v>
      </c>
      <c r="C536" s="106"/>
      <c r="D536" s="106"/>
      <c r="E536" s="106"/>
      <c r="F536" s="599"/>
      <c r="G536" s="99" t="s">
        <v>113</v>
      </c>
      <c r="H536" s="116" t="s">
        <v>83</v>
      </c>
      <c r="I536" s="106"/>
      <c r="J536" s="106"/>
      <c r="K536" s="106"/>
      <c r="L536" s="599"/>
    </row>
    <row r="537" spans="1:12" s="90" customFormat="1" ht="12.75" customHeight="1">
      <c r="A537" s="99" t="s">
        <v>113</v>
      </c>
      <c r="B537" s="116" t="s">
        <v>170</v>
      </c>
      <c r="C537" s="106"/>
      <c r="D537" s="106"/>
      <c r="E537" s="106"/>
      <c r="F537" s="599"/>
      <c r="G537" s="99" t="s">
        <v>114</v>
      </c>
      <c r="H537" s="116" t="s">
        <v>84</v>
      </c>
      <c r="I537" s="106"/>
      <c r="J537" s="106"/>
      <c r="K537" s="106"/>
      <c r="L537" s="599"/>
    </row>
    <row r="538" spans="1:12" s="90" customFormat="1" ht="12.75" customHeight="1">
      <c r="A538" s="99" t="s">
        <v>114</v>
      </c>
      <c r="B538" s="116" t="s">
        <v>181</v>
      </c>
      <c r="C538" s="106"/>
      <c r="D538" s="106"/>
      <c r="E538" s="106"/>
      <c r="F538" s="599"/>
      <c r="G538" s="99" t="s">
        <v>115</v>
      </c>
      <c r="H538" s="116" t="s">
        <v>211</v>
      </c>
      <c r="I538" s="106">
        <v>160000</v>
      </c>
      <c r="J538" s="106">
        <v>160000</v>
      </c>
      <c r="K538" s="106">
        <v>160000</v>
      </c>
      <c r="L538" s="599">
        <v>1</v>
      </c>
    </row>
    <row r="539" spans="1:12" s="90" customFormat="1" ht="12.75" customHeight="1">
      <c r="A539" s="112" t="s">
        <v>45</v>
      </c>
      <c r="B539" s="100" t="s">
        <v>118</v>
      </c>
      <c r="C539" s="101"/>
      <c r="D539" s="101"/>
      <c r="E539" s="101"/>
      <c r="F539" s="102"/>
      <c r="G539" s="112" t="s">
        <v>45</v>
      </c>
      <c r="H539" s="100" t="s">
        <v>130</v>
      </c>
      <c r="I539" s="101"/>
      <c r="J539" s="101"/>
      <c r="K539" s="101"/>
      <c r="L539" s="102"/>
    </row>
    <row r="540" spans="1:12" s="90" customFormat="1" ht="12.75" customHeight="1">
      <c r="A540" s="112" t="s">
        <v>111</v>
      </c>
      <c r="B540" s="100" t="s">
        <v>106</v>
      </c>
      <c r="C540" s="106"/>
      <c r="D540" s="106"/>
      <c r="E540" s="106"/>
      <c r="F540" s="599"/>
      <c r="G540" s="112" t="s">
        <v>111</v>
      </c>
      <c r="H540" s="100" t="s">
        <v>131</v>
      </c>
      <c r="I540" s="106"/>
      <c r="J540" s="106"/>
      <c r="K540" s="106"/>
      <c r="L540" s="599"/>
    </row>
    <row r="541" spans="1:12" s="90" customFormat="1" ht="12.75" customHeight="1">
      <c r="A541" s="112" t="s">
        <v>112</v>
      </c>
      <c r="B541" s="100" t="s">
        <v>39</v>
      </c>
      <c r="C541" s="106"/>
      <c r="D541" s="106"/>
      <c r="E541" s="106"/>
      <c r="F541" s="599"/>
      <c r="G541" s="112" t="s">
        <v>112</v>
      </c>
      <c r="H541" s="100" t="s">
        <v>87</v>
      </c>
      <c r="I541" s="106"/>
      <c r="J541" s="106"/>
      <c r="K541" s="106"/>
      <c r="L541" s="599"/>
    </row>
    <row r="542" spans="1:12" s="90" customFormat="1" ht="12.75" customHeight="1">
      <c r="A542" s="112" t="s">
        <v>113</v>
      </c>
      <c r="B542" s="100" t="s">
        <v>201</v>
      </c>
      <c r="C542" s="106"/>
      <c r="D542" s="106"/>
      <c r="E542" s="106"/>
      <c r="F542" s="599"/>
      <c r="G542" s="112" t="s">
        <v>113</v>
      </c>
      <c r="H542" s="100" t="s">
        <v>90</v>
      </c>
      <c r="I542" s="106"/>
      <c r="J542" s="106"/>
      <c r="K542" s="106"/>
      <c r="L542" s="599"/>
    </row>
    <row r="543" spans="1:12" s="90" customFormat="1" ht="12.75" customHeight="1">
      <c r="A543" s="112" t="s">
        <v>56</v>
      </c>
      <c r="B543" s="100" t="s">
        <v>126</v>
      </c>
      <c r="C543" s="101">
        <v>160000</v>
      </c>
      <c r="D543" s="101">
        <v>160000</v>
      </c>
      <c r="E543" s="101">
        <v>160000</v>
      </c>
      <c r="F543" s="102">
        <v>1</v>
      </c>
      <c r="G543" s="112" t="s">
        <v>56</v>
      </c>
      <c r="H543" s="100" t="s">
        <v>132</v>
      </c>
      <c r="I543" s="101"/>
      <c r="J543" s="101"/>
      <c r="K543" s="101"/>
      <c r="L543" s="102"/>
    </row>
    <row r="544" spans="1:12" s="90" customFormat="1" ht="12.75" customHeight="1">
      <c r="A544" s="99" t="s">
        <v>64</v>
      </c>
      <c r="B544" s="116" t="s">
        <v>127</v>
      </c>
      <c r="C544" s="101"/>
      <c r="D544" s="101"/>
      <c r="E544" s="101"/>
      <c r="F544" s="102"/>
      <c r="G544" s="99" t="s">
        <v>64</v>
      </c>
      <c r="H544" s="116" t="s">
        <v>133</v>
      </c>
      <c r="I544" s="101"/>
      <c r="J544" s="101"/>
      <c r="K544" s="101"/>
      <c r="L544" s="102"/>
    </row>
    <row r="545" spans="1:12" s="124" customFormat="1" ht="12.75" customHeight="1" thickBot="1">
      <c r="A545" s="117"/>
      <c r="B545" s="118" t="s">
        <v>148</v>
      </c>
      <c r="C545" s="88">
        <f>+C533+C539+C543+C544</f>
        <v>160000</v>
      </c>
      <c r="D545" s="88">
        <f>+D533+D539+D543+D544</f>
        <v>160000</v>
      </c>
      <c r="E545" s="88">
        <f>+E533+E539+E543+E544</f>
        <v>160000</v>
      </c>
      <c r="F545" s="119">
        <f>+E545/D545</f>
        <v>1</v>
      </c>
      <c r="G545" s="117"/>
      <c r="H545" s="118" t="s">
        <v>149</v>
      </c>
      <c r="I545" s="88">
        <f>I533+I539+I543+I544</f>
        <v>160000</v>
      </c>
      <c r="J545" s="88">
        <f>J533+J539+J543+J544</f>
        <v>160000</v>
      </c>
      <c r="K545" s="88">
        <f>K533+K539+K543+K544</f>
        <v>160000</v>
      </c>
      <c r="L545" s="119">
        <v>1</v>
      </c>
    </row>
    <row r="546" spans="1:12" s="126" customFormat="1" ht="12.75" customHeight="1">
      <c r="A546" s="124"/>
      <c r="B546" s="124"/>
      <c r="C546" s="93"/>
      <c r="D546" s="93"/>
      <c r="E546" s="93"/>
      <c r="F546" s="93"/>
      <c r="G546" s="124"/>
      <c r="H546" s="124"/>
      <c r="I546" s="93"/>
      <c r="J546" s="93"/>
      <c r="K546" s="93"/>
      <c r="L546" s="93"/>
    </row>
    <row r="547" spans="1:12" s="90" customFormat="1" ht="12.75" customHeight="1" thickBot="1">
      <c r="A547" s="90" t="s">
        <v>264</v>
      </c>
      <c r="B547" s="124"/>
      <c r="C547" s="93"/>
      <c r="D547" s="93"/>
      <c r="E547" s="638"/>
      <c r="F547" s="638"/>
      <c r="G547" s="124"/>
      <c r="H547" s="124"/>
      <c r="I547" s="595"/>
      <c r="J547" s="595"/>
      <c r="K547" s="638"/>
      <c r="L547" s="596" t="s">
        <v>216</v>
      </c>
    </row>
    <row r="548" spans="1:12" s="90" customFormat="1" ht="24.75" customHeight="1">
      <c r="A548" s="96"/>
      <c r="B548" s="97" t="s">
        <v>104</v>
      </c>
      <c r="C548" s="86" t="s">
        <v>227</v>
      </c>
      <c r="D548" s="86" t="s">
        <v>844</v>
      </c>
      <c r="E548" s="86" t="s">
        <v>303</v>
      </c>
      <c r="F548" s="87" t="s">
        <v>304</v>
      </c>
      <c r="G548" s="96">
        <v>47</v>
      </c>
      <c r="H548" s="97" t="s">
        <v>105</v>
      </c>
      <c r="I548" s="86" t="s">
        <v>227</v>
      </c>
      <c r="J548" s="86" t="s">
        <v>844</v>
      </c>
      <c r="K548" s="86" t="s">
        <v>303</v>
      </c>
      <c r="L548" s="87" t="s">
        <v>304</v>
      </c>
    </row>
    <row r="549" spans="1:12" s="90" customFormat="1" ht="12.75" customHeight="1">
      <c r="A549" s="99" t="s">
        <v>23</v>
      </c>
      <c r="B549" s="100" t="s">
        <v>108</v>
      </c>
      <c r="C549" s="101"/>
      <c r="D549" s="101"/>
      <c r="E549" s="101"/>
      <c r="F549" s="102"/>
      <c r="G549" s="99" t="s">
        <v>23</v>
      </c>
      <c r="H549" s="100" t="s">
        <v>129</v>
      </c>
      <c r="I549" s="101">
        <f>SUM(I550:I554)</f>
        <v>998053</v>
      </c>
      <c r="J549" s="101">
        <f>SUM(J550:J554)</f>
        <v>998053</v>
      </c>
      <c r="K549" s="101">
        <f>SUM(K550:K554)</f>
        <v>15575</v>
      </c>
      <c r="L549" s="102">
        <f>+K549/J549</f>
        <v>0.01560538368202891</v>
      </c>
    </row>
    <row r="550" spans="1:12" s="90" customFormat="1" ht="12.75" customHeight="1">
      <c r="A550" s="99" t="s">
        <v>111</v>
      </c>
      <c r="B550" s="116" t="s">
        <v>209</v>
      </c>
      <c r="C550" s="106"/>
      <c r="D550" s="106"/>
      <c r="E550" s="106"/>
      <c r="F550" s="599"/>
      <c r="G550" s="99" t="s">
        <v>111</v>
      </c>
      <c r="H550" s="116" t="s">
        <v>80</v>
      </c>
      <c r="I550" s="106">
        <v>110598</v>
      </c>
      <c r="J550" s="106">
        <v>110598</v>
      </c>
      <c r="K550" s="106">
        <v>13484</v>
      </c>
      <c r="L550" s="599">
        <f>+K550/J550</f>
        <v>0.12191902204379826</v>
      </c>
    </row>
    <row r="551" spans="1:12" s="90" customFormat="1" ht="12.75" customHeight="1">
      <c r="A551" s="99"/>
      <c r="B551" s="116" t="s">
        <v>210</v>
      </c>
      <c r="C551" s="106"/>
      <c r="D551" s="106"/>
      <c r="E551" s="106"/>
      <c r="F551" s="599"/>
      <c r="G551" s="99" t="s">
        <v>112</v>
      </c>
      <c r="H551" s="116" t="s">
        <v>147</v>
      </c>
      <c r="I551" s="106">
        <v>19355</v>
      </c>
      <c r="J551" s="106">
        <v>19355</v>
      </c>
      <c r="K551" s="106">
        <v>2091</v>
      </c>
      <c r="L551" s="599">
        <f>+K551/J551</f>
        <v>0.1080340997158357</v>
      </c>
    </row>
    <row r="552" spans="1:12" s="90" customFormat="1" ht="12.75" customHeight="1">
      <c r="A552" s="99" t="s">
        <v>112</v>
      </c>
      <c r="B552" s="116" t="s">
        <v>9</v>
      </c>
      <c r="C552" s="106"/>
      <c r="D552" s="106"/>
      <c r="E552" s="106"/>
      <c r="F552" s="599"/>
      <c r="G552" s="99" t="s">
        <v>113</v>
      </c>
      <c r="H552" s="116" t="s">
        <v>83</v>
      </c>
      <c r="I552" s="106">
        <v>868100</v>
      </c>
      <c r="J552" s="106">
        <v>868100</v>
      </c>
      <c r="K552" s="106">
        <v>0</v>
      </c>
      <c r="L552" s="599">
        <f>+K552/J552</f>
        <v>0</v>
      </c>
    </row>
    <row r="553" spans="1:12" s="90" customFormat="1" ht="12.75" customHeight="1">
      <c r="A553" s="99" t="s">
        <v>113</v>
      </c>
      <c r="B553" s="116" t="s">
        <v>170</v>
      </c>
      <c r="C553" s="106"/>
      <c r="D553" s="106"/>
      <c r="E553" s="106"/>
      <c r="F553" s="599"/>
      <c r="G553" s="99" t="s">
        <v>114</v>
      </c>
      <c r="H553" s="116" t="s">
        <v>84</v>
      </c>
      <c r="I553" s="106"/>
      <c r="J553" s="106"/>
      <c r="K553" s="106"/>
      <c r="L553" s="599"/>
    </row>
    <row r="554" spans="1:12" s="90" customFormat="1" ht="12.75" customHeight="1">
      <c r="A554" s="99" t="s">
        <v>114</v>
      </c>
      <c r="B554" s="116" t="s">
        <v>181</v>
      </c>
      <c r="C554" s="106"/>
      <c r="D554" s="106"/>
      <c r="E554" s="106"/>
      <c r="F554" s="599"/>
      <c r="G554" s="99" t="s">
        <v>115</v>
      </c>
      <c r="H554" s="116" t="s">
        <v>211</v>
      </c>
      <c r="I554" s="106"/>
      <c r="J554" s="106"/>
      <c r="K554" s="106"/>
      <c r="L554" s="599"/>
    </row>
    <row r="555" spans="1:12" s="90" customFormat="1" ht="12.75" customHeight="1">
      <c r="A555" s="112" t="s">
        <v>45</v>
      </c>
      <c r="B555" s="100" t="s">
        <v>118</v>
      </c>
      <c r="C555" s="101"/>
      <c r="D555" s="101"/>
      <c r="E555" s="101"/>
      <c r="F555" s="102"/>
      <c r="G555" s="112" t="s">
        <v>45</v>
      </c>
      <c r="H555" s="100" t="s">
        <v>130</v>
      </c>
      <c r="I555" s="101"/>
      <c r="J555" s="101"/>
      <c r="K555" s="101"/>
      <c r="L555" s="102"/>
    </row>
    <row r="556" spans="1:12" s="90" customFormat="1" ht="12.75" customHeight="1">
      <c r="A556" s="112" t="s">
        <v>111</v>
      </c>
      <c r="B556" s="100" t="s">
        <v>106</v>
      </c>
      <c r="C556" s="106"/>
      <c r="D556" s="106"/>
      <c r="E556" s="106"/>
      <c r="F556" s="599"/>
      <c r="G556" s="112" t="s">
        <v>111</v>
      </c>
      <c r="H556" s="100" t="s">
        <v>131</v>
      </c>
      <c r="I556" s="106"/>
      <c r="J556" s="106"/>
      <c r="K556" s="106"/>
      <c r="L556" s="599"/>
    </row>
    <row r="557" spans="1:12" s="90" customFormat="1" ht="12.75" customHeight="1">
      <c r="A557" s="112" t="s">
        <v>112</v>
      </c>
      <c r="B557" s="100" t="s">
        <v>39</v>
      </c>
      <c r="C557" s="106"/>
      <c r="D557" s="106"/>
      <c r="E557" s="106"/>
      <c r="F557" s="599"/>
      <c r="G557" s="112" t="s">
        <v>112</v>
      </c>
      <c r="H557" s="100" t="s">
        <v>87</v>
      </c>
      <c r="I557" s="106"/>
      <c r="J557" s="106"/>
      <c r="K557" s="106"/>
      <c r="L557" s="599"/>
    </row>
    <row r="558" spans="1:12" s="90" customFormat="1" ht="12.75" customHeight="1">
      <c r="A558" s="112" t="s">
        <v>113</v>
      </c>
      <c r="B558" s="100" t="s">
        <v>201</v>
      </c>
      <c r="C558" s="106"/>
      <c r="D558" s="106"/>
      <c r="E558" s="106"/>
      <c r="F558" s="599"/>
      <c r="G558" s="112" t="s">
        <v>113</v>
      </c>
      <c r="H558" s="100" t="s">
        <v>90</v>
      </c>
      <c r="I558" s="106"/>
      <c r="J558" s="106"/>
      <c r="K558" s="106"/>
      <c r="L558" s="599"/>
    </row>
    <row r="559" spans="1:12" s="90" customFormat="1" ht="12.75" customHeight="1">
      <c r="A559" s="112" t="s">
        <v>56</v>
      </c>
      <c r="B559" s="100" t="s">
        <v>126</v>
      </c>
      <c r="C559" s="101">
        <v>998053</v>
      </c>
      <c r="D559" s="101">
        <v>998053</v>
      </c>
      <c r="E559" s="101">
        <v>998053</v>
      </c>
      <c r="F559" s="102">
        <f>+E559/D559</f>
        <v>1</v>
      </c>
      <c r="G559" s="112" t="s">
        <v>56</v>
      </c>
      <c r="H559" s="100" t="s">
        <v>132</v>
      </c>
      <c r="I559" s="101"/>
      <c r="J559" s="101"/>
      <c r="K559" s="101"/>
      <c r="L559" s="102"/>
    </row>
    <row r="560" spans="1:12" s="90" customFormat="1" ht="12.75" customHeight="1">
      <c r="A560" s="99" t="s">
        <v>64</v>
      </c>
      <c r="B560" s="116" t="s">
        <v>127</v>
      </c>
      <c r="C560" s="101"/>
      <c r="D560" s="101"/>
      <c r="E560" s="101"/>
      <c r="F560" s="102"/>
      <c r="G560" s="99" t="s">
        <v>64</v>
      </c>
      <c r="H560" s="116" t="s">
        <v>133</v>
      </c>
      <c r="I560" s="101"/>
      <c r="J560" s="101"/>
      <c r="K560" s="101"/>
      <c r="L560" s="102"/>
    </row>
    <row r="561" spans="1:12" s="124" customFormat="1" ht="12.75" customHeight="1" thickBot="1">
      <c r="A561" s="117"/>
      <c r="B561" s="118" t="s">
        <v>148</v>
      </c>
      <c r="C561" s="88">
        <f>+C549+C555+C559+C560</f>
        <v>998053</v>
      </c>
      <c r="D561" s="88">
        <f>+D549+D555+D559+D560</f>
        <v>998053</v>
      </c>
      <c r="E561" s="88">
        <f>+E549+E555+E559+E560</f>
        <v>998053</v>
      </c>
      <c r="F561" s="119">
        <f>+E561/D561</f>
        <v>1</v>
      </c>
      <c r="G561" s="117"/>
      <c r="H561" s="118" t="s">
        <v>149</v>
      </c>
      <c r="I561" s="88">
        <f>I549+I555+I559+I560</f>
        <v>998053</v>
      </c>
      <c r="J561" s="88">
        <f>J549+J555+J559+J560</f>
        <v>998053</v>
      </c>
      <c r="K561" s="88">
        <f>K549+K555+K559+K560</f>
        <v>15575</v>
      </c>
      <c r="L561" s="119">
        <f>+K561/J561</f>
        <v>0.01560538368202891</v>
      </c>
    </row>
    <row r="562" spans="1:12" s="126" customFormat="1" ht="12.75" customHeight="1">
      <c r="A562" s="124"/>
      <c r="B562" s="124"/>
      <c r="C562" s="93"/>
      <c r="D562" s="93"/>
      <c r="E562" s="595"/>
      <c r="F562" s="595"/>
      <c r="G562" s="124"/>
      <c r="H562" s="124"/>
      <c r="I562" s="93"/>
      <c r="J562" s="93"/>
      <c r="K562" s="595"/>
      <c r="L562" s="595"/>
    </row>
    <row r="563" spans="1:12" s="90" customFormat="1" ht="12.75" customHeight="1" thickBot="1">
      <c r="A563" s="90" t="s">
        <v>274</v>
      </c>
      <c r="B563" s="124"/>
      <c r="E563" s="93"/>
      <c r="F563" s="93"/>
      <c r="G563" s="124"/>
      <c r="H563" s="124"/>
      <c r="I563" s="595"/>
      <c r="J563" s="595"/>
      <c r="K563" s="93"/>
      <c r="L563" s="596" t="s">
        <v>216</v>
      </c>
    </row>
    <row r="564" spans="1:12" s="90" customFormat="1" ht="24.75" customHeight="1">
      <c r="A564" s="96"/>
      <c r="B564" s="97" t="s">
        <v>104</v>
      </c>
      <c r="C564" s="86" t="s">
        <v>227</v>
      </c>
      <c r="D564" s="86" t="s">
        <v>844</v>
      </c>
      <c r="E564" s="86" t="s">
        <v>303</v>
      </c>
      <c r="F564" s="87" t="s">
        <v>304</v>
      </c>
      <c r="G564" s="96">
        <v>48</v>
      </c>
      <c r="H564" s="97" t="s">
        <v>105</v>
      </c>
      <c r="I564" s="86" t="s">
        <v>227</v>
      </c>
      <c r="J564" s="86" t="s">
        <v>844</v>
      </c>
      <c r="K564" s="86" t="s">
        <v>303</v>
      </c>
      <c r="L564" s="87" t="s">
        <v>304</v>
      </c>
    </row>
    <row r="565" spans="1:12" s="90" customFormat="1" ht="12.75" customHeight="1">
      <c r="A565" s="99" t="s">
        <v>23</v>
      </c>
      <c r="B565" s="100" t="s">
        <v>108</v>
      </c>
      <c r="C565" s="101"/>
      <c r="D565" s="101"/>
      <c r="E565" s="101"/>
      <c r="F565" s="102"/>
      <c r="G565" s="99" t="s">
        <v>23</v>
      </c>
      <c r="H565" s="100" t="s">
        <v>129</v>
      </c>
      <c r="I565" s="101">
        <f>SUM(I566:I570)</f>
        <v>4028828</v>
      </c>
      <c r="J565" s="101">
        <f>SUM(J566:J570)</f>
        <v>4028828</v>
      </c>
      <c r="K565" s="101">
        <f>SUM(K566:K570)</f>
        <v>1603063</v>
      </c>
      <c r="L565" s="102">
        <f>+K565/J565</f>
        <v>0.3978980984047966</v>
      </c>
    </row>
    <row r="566" spans="1:12" s="90" customFormat="1" ht="12.75" customHeight="1">
      <c r="A566" s="99" t="s">
        <v>111</v>
      </c>
      <c r="B566" s="116" t="s">
        <v>209</v>
      </c>
      <c r="C566" s="106"/>
      <c r="D566" s="106"/>
      <c r="E566" s="106"/>
      <c r="F566" s="599"/>
      <c r="G566" s="99" t="s">
        <v>111</v>
      </c>
      <c r="H566" s="116" t="s">
        <v>80</v>
      </c>
      <c r="I566" s="106">
        <v>1339427</v>
      </c>
      <c r="J566" s="106">
        <v>3485279</v>
      </c>
      <c r="K566" s="106">
        <v>1376228</v>
      </c>
      <c r="L566" s="599">
        <f>+K566/J566</f>
        <v>0.39486881824955766</v>
      </c>
    </row>
    <row r="567" spans="1:12" s="90" customFormat="1" ht="12.75" customHeight="1">
      <c r="A567" s="99"/>
      <c r="B567" s="116" t="s">
        <v>210</v>
      </c>
      <c r="C567" s="106"/>
      <c r="D567" s="106"/>
      <c r="E567" s="106"/>
      <c r="F567" s="599"/>
      <c r="G567" s="99" t="s">
        <v>112</v>
      </c>
      <c r="H567" s="116" t="s">
        <v>147</v>
      </c>
      <c r="I567" s="106">
        <v>234400</v>
      </c>
      <c r="J567" s="106">
        <v>539358</v>
      </c>
      <c r="K567" s="106">
        <v>226835</v>
      </c>
      <c r="L567" s="599">
        <f>+K567/J567</f>
        <v>0.4205648196559613</v>
      </c>
    </row>
    <row r="568" spans="1:12" s="90" customFormat="1" ht="12.75" customHeight="1">
      <c r="A568" s="99" t="s">
        <v>112</v>
      </c>
      <c r="B568" s="116" t="s">
        <v>9</v>
      </c>
      <c r="C568" s="106"/>
      <c r="D568" s="106"/>
      <c r="E568" s="106"/>
      <c r="F568" s="599"/>
      <c r="G568" s="99" t="s">
        <v>113</v>
      </c>
      <c r="H568" s="116" t="s">
        <v>83</v>
      </c>
      <c r="I568" s="106">
        <v>2455001</v>
      </c>
      <c r="J568" s="106">
        <v>4191</v>
      </c>
      <c r="K568" s="106">
        <v>0</v>
      </c>
      <c r="L568" s="599">
        <f>+K568/J568</f>
        <v>0</v>
      </c>
    </row>
    <row r="569" spans="1:12" s="90" customFormat="1" ht="12.75" customHeight="1">
      <c r="A569" s="99" t="s">
        <v>113</v>
      </c>
      <c r="B569" s="116" t="s">
        <v>170</v>
      </c>
      <c r="C569" s="106"/>
      <c r="D569" s="106"/>
      <c r="E569" s="106"/>
      <c r="F569" s="599"/>
      <c r="G569" s="99" t="s">
        <v>114</v>
      </c>
      <c r="H569" s="116" t="s">
        <v>84</v>
      </c>
      <c r="I569" s="106"/>
      <c r="J569" s="106"/>
      <c r="K569" s="106"/>
      <c r="L569" s="599"/>
    </row>
    <row r="570" spans="1:12" s="90" customFormat="1" ht="12.75" customHeight="1">
      <c r="A570" s="99" t="s">
        <v>114</v>
      </c>
      <c r="B570" s="116" t="s">
        <v>181</v>
      </c>
      <c r="C570" s="106"/>
      <c r="D570" s="106"/>
      <c r="E570" s="106"/>
      <c r="F570" s="599"/>
      <c r="G570" s="99" t="s">
        <v>115</v>
      </c>
      <c r="H570" s="116" t="s">
        <v>211</v>
      </c>
      <c r="I570" s="106"/>
      <c r="J570" s="106"/>
      <c r="K570" s="106"/>
      <c r="L570" s="599"/>
    </row>
    <row r="571" spans="1:12" s="90" customFormat="1" ht="12.75" customHeight="1">
      <c r="A571" s="112" t="s">
        <v>45</v>
      </c>
      <c r="B571" s="100" t="s">
        <v>118</v>
      </c>
      <c r="C571" s="101"/>
      <c r="D571" s="101"/>
      <c r="E571" s="101"/>
      <c r="F571" s="102"/>
      <c r="G571" s="112" t="s">
        <v>45</v>
      </c>
      <c r="H571" s="100" t="s">
        <v>130</v>
      </c>
      <c r="I571" s="101"/>
      <c r="J571" s="101"/>
      <c r="K571" s="101"/>
      <c r="L571" s="102"/>
    </row>
    <row r="572" spans="1:12" s="90" customFormat="1" ht="12.75" customHeight="1">
      <c r="A572" s="112" t="s">
        <v>111</v>
      </c>
      <c r="B572" s="100" t="s">
        <v>106</v>
      </c>
      <c r="C572" s="106"/>
      <c r="D572" s="106"/>
      <c r="E572" s="106"/>
      <c r="F572" s="599"/>
      <c r="G572" s="112" t="s">
        <v>111</v>
      </c>
      <c r="H572" s="100" t="s">
        <v>131</v>
      </c>
      <c r="I572" s="106"/>
      <c r="J572" s="106"/>
      <c r="K572" s="106"/>
      <c r="L572" s="599"/>
    </row>
    <row r="573" spans="1:12" s="90" customFormat="1" ht="12.75" customHeight="1">
      <c r="A573" s="112" t="s">
        <v>112</v>
      </c>
      <c r="B573" s="100" t="s">
        <v>39</v>
      </c>
      <c r="C573" s="106"/>
      <c r="D573" s="106"/>
      <c r="E573" s="106"/>
      <c r="F573" s="599"/>
      <c r="G573" s="112" t="s">
        <v>112</v>
      </c>
      <c r="H573" s="100" t="s">
        <v>87</v>
      </c>
      <c r="I573" s="106"/>
      <c r="J573" s="106"/>
      <c r="K573" s="106"/>
      <c r="L573" s="599"/>
    </row>
    <row r="574" spans="1:12" s="90" customFormat="1" ht="12.75" customHeight="1">
      <c r="A574" s="112" t="s">
        <v>113</v>
      </c>
      <c r="B574" s="100" t="s">
        <v>201</v>
      </c>
      <c r="C574" s="106"/>
      <c r="D574" s="106"/>
      <c r="E574" s="106"/>
      <c r="F574" s="599"/>
      <c r="G574" s="112" t="s">
        <v>113</v>
      </c>
      <c r="H574" s="100" t="s">
        <v>90</v>
      </c>
      <c r="I574" s="106"/>
      <c r="J574" s="106"/>
      <c r="K574" s="106"/>
      <c r="L574" s="599"/>
    </row>
    <row r="575" spans="1:12" s="90" customFormat="1" ht="12.75" customHeight="1">
      <c r="A575" s="112" t="s">
        <v>56</v>
      </c>
      <c r="B575" s="100" t="s">
        <v>126</v>
      </c>
      <c r="C575" s="101">
        <v>4028828</v>
      </c>
      <c r="D575" s="101">
        <v>4028828</v>
      </c>
      <c r="E575" s="101">
        <v>4028828</v>
      </c>
      <c r="F575" s="102">
        <f>+E575/D575</f>
        <v>1</v>
      </c>
      <c r="G575" s="112" t="s">
        <v>56</v>
      </c>
      <c r="H575" s="100" t="s">
        <v>132</v>
      </c>
      <c r="I575" s="101"/>
      <c r="J575" s="101"/>
      <c r="K575" s="101"/>
      <c r="L575" s="102"/>
    </row>
    <row r="576" spans="1:12" s="90" customFormat="1" ht="12.75" customHeight="1">
      <c r="A576" s="99" t="s">
        <v>64</v>
      </c>
      <c r="B576" s="116" t="s">
        <v>127</v>
      </c>
      <c r="C576" s="101"/>
      <c r="D576" s="101"/>
      <c r="E576" s="101"/>
      <c r="F576" s="102"/>
      <c r="G576" s="99" t="s">
        <v>64</v>
      </c>
      <c r="H576" s="116" t="s">
        <v>133</v>
      </c>
      <c r="I576" s="101"/>
      <c r="J576" s="101"/>
      <c r="K576" s="101"/>
      <c r="L576" s="102"/>
    </row>
    <row r="577" spans="1:12" s="124" customFormat="1" ht="12.75" customHeight="1" thickBot="1">
      <c r="A577" s="117"/>
      <c r="B577" s="118" t="s">
        <v>148</v>
      </c>
      <c r="C577" s="88">
        <f>+C565+C571+C575+C576</f>
        <v>4028828</v>
      </c>
      <c r="D577" s="88">
        <f>+D565+D571+D575+D576</f>
        <v>4028828</v>
      </c>
      <c r="E577" s="88">
        <f>+E565+E571+E575+E576</f>
        <v>4028828</v>
      </c>
      <c r="F577" s="119">
        <f>+E577/D577</f>
        <v>1</v>
      </c>
      <c r="G577" s="117"/>
      <c r="H577" s="118" t="s">
        <v>149</v>
      </c>
      <c r="I577" s="88">
        <f>I565+I571+I575+I576</f>
        <v>4028828</v>
      </c>
      <c r="J577" s="88">
        <f>J565+J571+J575+J576</f>
        <v>4028828</v>
      </c>
      <c r="K577" s="88">
        <f>K565+K571+K575+K576</f>
        <v>1603063</v>
      </c>
      <c r="L577" s="119">
        <f>+K577/J577</f>
        <v>0.3978980984047966</v>
      </c>
    </row>
    <row r="578" spans="1:12" s="126" customFormat="1" ht="12.75" customHeight="1">
      <c r="A578" s="124"/>
      <c r="B578" s="124"/>
      <c r="C578" s="93"/>
      <c r="D578" s="93"/>
      <c r="E578" s="93"/>
      <c r="F578" s="93"/>
      <c r="G578" s="124"/>
      <c r="H578" s="124"/>
      <c r="I578" s="93"/>
      <c r="J578" s="93"/>
      <c r="K578" s="93"/>
      <c r="L578" s="93"/>
    </row>
    <row r="579" spans="1:12" s="90" customFormat="1" ht="12.75" customHeight="1" thickBot="1">
      <c r="A579" s="90" t="s">
        <v>284</v>
      </c>
      <c r="B579" s="124"/>
      <c r="E579" s="93"/>
      <c r="F579" s="93"/>
      <c r="G579" s="124"/>
      <c r="H579" s="124"/>
      <c r="I579" s="595"/>
      <c r="J579" s="595"/>
      <c r="K579" s="93"/>
      <c r="L579" s="596" t="s">
        <v>216</v>
      </c>
    </row>
    <row r="580" spans="1:12" s="90" customFormat="1" ht="24.75" customHeight="1">
      <c r="A580" s="96"/>
      <c r="B580" s="97" t="s">
        <v>104</v>
      </c>
      <c r="C580" s="86" t="s">
        <v>227</v>
      </c>
      <c r="D580" s="86" t="s">
        <v>844</v>
      </c>
      <c r="E580" s="86" t="s">
        <v>303</v>
      </c>
      <c r="F580" s="87" t="s">
        <v>304</v>
      </c>
      <c r="G580" s="96">
        <v>118</v>
      </c>
      <c r="H580" s="97" t="s">
        <v>105</v>
      </c>
      <c r="I580" s="86" t="s">
        <v>227</v>
      </c>
      <c r="J580" s="86" t="s">
        <v>844</v>
      </c>
      <c r="K580" s="86" t="s">
        <v>303</v>
      </c>
      <c r="L580" s="87" t="s">
        <v>304</v>
      </c>
    </row>
    <row r="581" spans="1:12" s="90" customFormat="1" ht="12.75" customHeight="1">
      <c r="A581" s="99" t="s">
        <v>23</v>
      </c>
      <c r="B581" s="100" t="s">
        <v>108</v>
      </c>
      <c r="C581" s="101"/>
      <c r="D581" s="101"/>
      <c r="E581" s="101"/>
      <c r="F581" s="102"/>
      <c r="G581" s="99" t="s">
        <v>23</v>
      </c>
      <c r="H581" s="100" t="s">
        <v>129</v>
      </c>
      <c r="I581" s="101">
        <f>SUM(I582:I586)</f>
        <v>4637198</v>
      </c>
      <c r="J581" s="101">
        <f>SUM(J582:J586)</f>
        <v>4637198</v>
      </c>
      <c r="K581" s="101">
        <f>SUM(K582:K586)</f>
        <v>3276485</v>
      </c>
      <c r="L581" s="102">
        <f>+K581/J581</f>
        <v>0.7065656890216894</v>
      </c>
    </row>
    <row r="582" spans="1:12" s="90" customFormat="1" ht="12.75" customHeight="1">
      <c r="A582" s="99" t="s">
        <v>111</v>
      </c>
      <c r="B582" s="116" t="s">
        <v>209</v>
      </c>
      <c r="C582" s="106"/>
      <c r="D582" s="106"/>
      <c r="E582" s="106"/>
      <c r="F582" s="599"/>
      <c r="G582" s="99" t="s">
        <v>111</v>
      </c>
      <c r="H582" s="116" t="s">
        <v>80</v>
      </c>
      <c r="I582" s="106">
        <v>3588315</v>
      </c>
      <c r="J582" s="106">
        <v>3588315</v>
      </c>
      <c r="K582" s="106">
        <v>2577363</v>
      </c>
      <c r="L582" s="599">
        <f>+K582/J582</f>
        <v>0.7182655368884838</v>
      </c>
    </row>
    <row r="583" spans="1:12" s="90" customFormat="1" ht="12.75" customHeight="1">
      <c r="A583" s="99"/>
      <c r="B583" s="116" t="s">
        <v>210</v>
      </c>
      <c r="C583" s="106"/>
      <c r="D583" s="106"/>
      <c r="E583" s="106"/>
      <c r="F583" s="599"/>
      <c r="G583" s="99" t="s">
        <v>112</v>
      </c>
      <c r="H583" s="116" t="s">
        <v>147</v>
      </c>
      <c r="I583" s="106">
        <v>733669</v>
      </c>
      <c r="J583" s="106">
        <v>733669</v>
      </c>
      <c r="K583" s="106">
        <v>433908</v>
      </c>
      <c r="L583" s="599">
        <f>+K583/J583</f>
        <v>0.5914220172857242</v>
      </c>
    </row>
    <row r="584" spans="1:12" s="90" customFormat="1" ht="12.75" customHeight="1">
      <c r="A584" s="99" t="s">
        <v>112</v>
      </c>
      <c r="B584" s="116" t="s">
        <v>9</v>
      </c>
      <c r="C584" s="106"/>
      <c r="D584" s="106"/>
      <c r="E584" s="106"/>
      <c r="F584" s="599"/>
      <c r="G584" s="99" t="s">
        <v>113</v>
      </c>
      <c r="H584" s="116" t="s">
        <v>83</v>
      </c>
      <c r="I584" s="106">
        <f>315214-265214</f>
        <v>50000</v>
      </c>
      <c r="J584" s="106">
        <f>315214-265214</f>
        <v>50000</v>
      </c>
      <c r="K584" s="106">
        <v>0</v>
      </c>
      <c r="L584" s="599">
        <f>+K584/J584</f>
        <v>0</v>
      </c>
    </row>
    <row r="585" spans="1:12" s="90" customFormat="1" ht="12.75" customHeight="1">
      <c r="A585" s="99" t="s">
        <v>113</v>
      </c>
      <c r="B585" s="116" t="s">
        <v>170</v>
      </c>
      <c r="C585" s="106"/>
      <c r="D585" s="106"/>
      <c r="E585" s="106"/>
      <c r="F585" s="599"/>
      <c r="G585" s="99" t="s">
        <v>114</v>
      </c>
      <c r="H585" s="116" t="s">
        <v>84</v>
      </c>
      <c r="I585" s="106"/>
      <c r="J585" s="106"/>
      <c r="K585" s="106"/>
      <c r="L585" s="599"/>
    </row>
    <row r="586" spans="1:12" s="90" customFormat="1" ht="12.75" customHeight="1">
      <c r="A586" s="99" t="s">
        <v>114</v>
      </c>
      <c r="B586" s="116" t="s">
        <v>181</v>
      </c>
      <c r="C586" s="106"/>
      <c r="D586" s="106"/>
      <c r="E586" s="106"/>
      <c r="F586" s="599"/>
      <c r="G586" s="99" t="s">
        <v>115</v>
      </c>
      <c r="H586" s="116" t="s">
        <v>211</v>
      </c>
      <c r="I586" s="106">
        <v>265214</v>
      </c>
      <c r="J586" s="106">
        <v>265214</v>
      </c>
      <c r="K586" s="106">
        <v>265214</v>
      </c>
      <c r="L586" s="599">
        <f>+K586/J586</f>
        <v>1</v>
      </c>
    </row>
    <row r="587" spans="1:12" s="90" customFormat="1" ht="12.75" customHeight="1">
      <c r="A587" s="112" t="s">
        <v>45</v>
      </c>
      <c r="B587" s="100" t="s">
        <v>118</v>
      </c>
      <c r="C587" s="101"/>
      <c r="D587" s="101"/>
      <c r="E587" s="101"/>
      <c r="F587" s="102"/>
      <c r="G587" s="112" t="s">
        <v>45</v>
      </c>
      <c r="H587" s="100" t="s">
        <v>130</v>
      </c>
      <c r="I587" s="101"/>
      <c r="J587" s="101"/>
      <c r="K587" s="101"/>
      <c r="L587" s="102"/>
    </row>
    <row r="588" spans="1:12" s="90" customFormat="1" ht="12.75" customHeight="1">
      <c r="A588" s="112" t="s">
        <v>111</v>
      </c>
      <c r="B588" s="100" t="s">
        <v>106</v>
      </c>
      <c r="C588" s="106"/>
      <c r="D588" s="106"/>
      <c r="E588" s="106"/>
      <c r="F588" s="599"/>
      <c r="G588" s="112" t="s">
        <v>111</v>
      </c>
      <c r="H588" s="100" t="s">
        <v>131</v>
      </c>
      <c r="I588" s="106"/>
      <c r="J588" s="106"/>
      <c r="K588" s="106"/>
      <c r="L588" s="599"/>
    </row>
    <row r="589" spans="1:12" s="90" customFormat="1" ht="12.75" customHeight="1">
      <c r="A589" s="112" t="s">
        <v>112</v>
      </c>
      <c r="B589" s="100" t="s">
        <v>39</v>
      </c>
      <c r="C589" s="106"/>
      <c r="D589" s="106"/>
      <c r="E589" s="106"/>
      <c r="F589" s="599"/>
      <c r="G589" s="112" t="s">
        <v>112</v>
      </c>
      <c r="H589" s="100" t="s">
        <v>87</v>
      </c>
      <c r="I589" s="106"/>
      <c r="J589" s="106"/>
      <c r="K589" s="106"/>
      <c r="L589" s="599"/>
    </row>
    <row r="590" spans="1:12" s="90" customFormat="1" ht="12.75" customHeight="1">
      <c r="A590" s="112" t="s">
        <v>113</v>
      </c>
      <c r="B590" s="100" t="s">
        <v>201</v>
      </c>
      <c r="C590" s="106"/>
      <c r="D590" s="106"/>
      <c r="E590" s="106"/>
      <c r="F590" s="599"/>
      <c r="G590" s="112" t="s">
        <v>113</v>
      </c>
      <c r="H590" s="100" t="s">
        <v>90</v>
      </c>
      <c r="I590" s="106"/>
      <c r="J590" s="106"/>
      <c r="K590" s="106"/>
      <c r="L590" s="599"/>
    </row>
    <row r="591" spans="1:12" s="90" customFormat="1" ht="12.75" customHeight="1">
      <c r="A591" s="112" t="s">
        <v>56</v>
      </c>
      <c r="B591" s="100" t="s">
        <v>126</v>
      </c>
      <c r="C591" s="101">
        <v>4637198</v>
      </c>
      <c r="D591" s="101">
        <v>4637198</v>
      </c>
      <c r="E591" s="101">
        <v>4637198</v>
      </c>
      <c r="F591" s="102">
        <f>+E591/D591</f>
        <v>1</v>
      </c>
      <c r="G591" s="112" t="s">
        <v>56</v>
      </c>
      <c r="H591" s="100" t="s">
        <v>132</v>
      </c>
      <c r="I591" s="101"/>
      <c r="J591" s="101"/>
      <c r="K591" s="101"/>
      <c r="L591" s="102"/>
    </row>
    <row r="592" spans="1:12" s="90" customFormat="1" ht="12.75" customHeight="1">
      <c r="A592" s="99" t="s">
        <v>64</v>
      </c>
      <c r="B592" s="116" t="s">
        <v>127</v>
      </c>
      <c r="C592" s="101"/>
      <c r="D592" s="101"/>
      <c r="E592" s="101"/>
      <c r="F592" s="102"/>
      <c r="G592" s="99" t="s">
        <v>64</v>
      </c>
      <c r="H592" s="116" t="s">
        <v>133</v>
      </c>
      <c r="I592" s="101"/>
      <c r="J592" s="101"/>
      <c r="K592" s="101"/>
      <c r="L592" s="102"/>
    </row>
    <row r="593" spans="1:12" s="124" customFormat="1" ht="12.75" customHeight="1" thickBot="1">
      <c r="A593" s="117"/>
      <c r="B593" s="118" t="s">
        <v>148</v>
      </c>
      <c r="C593" s="88">
        <f>+C581+C587+C591+C592</f>
        <v>4637198</v>
      </c>
      <c r="D593" s="88">
        <f>+D581+D587+D591+D592</f>
        <v>4637198</v>
      </c>
      <c r="E593" s="88">
        <f>+E581+E587+E591+E592</f>
        <v>4637198</v>
      </c>
      <c r="F593" s="119">
        <f>+E593/D593</f>
        <v>1</v>
      </c>
      <c r="G593" s="117"/>
      <c r="H593" s="118" t="s">
        <v>149</v>
      </c>
      <c r="I593" s="88">
        <f>+I592+I591+I587+I581</f>
        <v>4637198</v>
      </c>
      <c r="J593" s="88">
        <f>+J592+J591+J587+J581</f>
        <v>4637198</v>
      </c>
      <c r="K593" s="88">
        <f>K581+K587</f>
        <v>3276485</v>
      </c>
      <c r="L593" s="119">
        <f>+K593/J593</f>
        <v>0.7065656890216894</v>
      </c>
    </row>
    <row r="594" spans="1:12" s="126" customFormat="1" ht="15">
      <c r="A594" s="124"/>
      <c r="B594" s="124"/>
      <c r="C594" s="93"/>
      <c r="D594" s="93"/>
      <c r="E594" s="93"/>
      <c r="F594" s="93"/>
      <c r="G594" s="124"/>
      <c r="H594" s="124"/>
      <c r="I594" s="93"/>
      <c r="J594" s="93"/>
      <c r="K594" s="93"/>
      <c r="L594" s="93"/>
    </row>
    <row r="595" spans="1:12" s="90" customFormat="1" ht="12.75" customHeight="1" thickBot="1">
      <c r="A595" s="90" t="s">
        <v>804</v>
      </c>
      <c r="B595" s="124"/>
      <c r="C595" s="93"/>
      <c r="D595" s="93"/>
      <c r="E595" s="93"/>
      <c r="F595" s="93"/>
      <c r="G595" s="124"/>
      <c r="H595" s="124"/>
      <c r="I595" s="595"/>
      <c r="J595" s="595"/>
      <c r="K595" s="93"/>
      <c r="L595" s="596" t="s">
        <v>216</v>
      </c>
    </row>
    <row r="596" spans="1:12" s="90" customFormat="1" ht="24.75" customHeight="1">
      <c r="A596" s="96"/>
      <c r="B596" s="97" t="s">
        <v>104</v>
      </c>
      <c r="C596" s="86" t="s">
        <v>227</v>
      </c>
      <c r="D596" s="86" t="s">
        <v>844</v>
      </c>
      <c r="E596" s="86" t="s">
        <v>303</v>
      </c>
      <c r="F596" s="87" t="s">
        <v>304</v>
      </c>
      <c r="G596" s="96">
        <v>49</v>
      </c>
      <c r="H596" s="97" t="s">
        <v>105</v>
      </c>
      <c r="I596" s="86" t="s">
        <v>227</v>
      </c>
      <c r="J596" s="86" t="s">
        <v>844</v>
      </c>
      <c r="K596" s="86" t="s">
        <v>303</v>
      </c>
      <c r="L596" s="87" t="s">
        <v>304</v>
      </c>
    </row>
    <row r="597" spans="1:12" s="90" customFormat="1" ht="12.75" customHeight="1">
      <c r="A597" s="99" t="s">
        <v>23</v>
      </c>
      <c r="B597" s="100" t="s">
        <v>108</v>
      </c>
      <c r="C597" s="101"/>
      <c r="D597" s="101"/>
      <c r="E597" s="101"/>
      <c r="F597" s="102"/>
      <c r="G597" s="99" t="s">
        <v>23</v>
      </c>
      <c r="H597" s="100" t="s">
        <v>129</v>
      </c>
      <c r="I597" s="101">
        <f>SUM(I598:I602)</f>
        <v>149010</v>
      </c>
      <c r="J597" s="101">
        <f>SUM(J598:J602)</f>
        <v>149010</v>
      </c>
      <c r="K597" s="101">
        <f>SUM(K598:K602)</f>
        <v>148944</v>
      </c>
      <c r="L597" s="102">
        <f>+K597/J597</f>
        <v>0.9995570767062614</v>
      </c>
    </row>
    <row r="598" spans="1:12" s="90" customFormat="1" ht="12.75" customHeight="1">
      <c r="A598" s="99" t="s">
        <v>111</v>
      </c>
      <c r="B598" s="116" t="s">
        <v>209</v>
      </c>
      <c r="C598" s="106"/>
      <c r="D598" s="106"/>
      <c r="E598" s="106"/>
      <c r="F598" s="599"/>
      <c r="G598" s="99" t="s">
        <v>111</v>
      </c>
      <c r="H598" s="116" t="s">
        <v>80</v>
      </c>
      <c r="I598" s="106">
        <v>29043</v>
      </c>
      <c r="J598" s="106">
        <v>29043</v>
      </c>
      <c r="K598" s="106">
        <v>29043</v>
      </c>
      <c r="L598" s="599">
        <f>+K598/J598</f>
        <v>1</v>
      </c>
    </row>
    <row r="599" spans="1:12" s="90" customFormat="1" ht="12.75" customHeight="1">
      <c r="A599" s="99"/>
      <c r="B599" s="116" t="s">
        <v>210</v>
      </c>
      <c r="C599" s="106"/>
      <c r="D599" s="106"/>
      <c r="E599" s="106"/>
      <c r="F599" s="599"/>
      <c r="G599" s="99" t="s">
        <v>112</v>
      </c>
      <c r="H599" s="116" t="s">
        <v>147</v>
      </c>
      <c r="I599" s="106">
        <v>5083</v>
      </c>
      <c r="J599" s="106">
        <v>5083</v>
      </c>
      <c r="K599" s="106">
        <v>5083</v>
      </c>
      <c r="L599" s="599">
        <f>+K599/J599</f>
        <v>1</v>
      </c>
    </row>
    <row r="600" spans="1:12" s="90" customFormat="1" ht="12.75" customHeight="1">
      <c r="A600" s="99" t="s">
        <v>112</v>
      </c>
      <c r="B600" s="116" t="s">
        <v>9</v>
      </c>
      <c r="C600" s="106"/>
      <c r="D600" s="106"/>
      <c r="E600" s="106"/>
      <c r="F600" s="599"/>
      <c r="G600" s="99" t="s">
        <v>113</v>
      </c>
      <c r="H600" s="116" t="s">
        <v>83</v>
      </c>
      <c r="I600" s="106"/>
      <c r="J600" s="106"/>
      <c r="K600" s="106"/>
      <c r="L600" s="599"/>
    </row>
    <row r="601" spans="1:12" s="90" customFormat="1" ht="12.75" customHeight="1">
      <c r="A601" s="99" t="s">
        <v>113</v>
      </c>
      <c r="B601" s="116" t="s">
        <v>170</v>
      </c>
      <c r="C601" s="106"/>
      <c r="D601" s="106"/>
      <c r="E601" s="106"/>
      <c r="F601" s="599"/>
      <c r="G601" s="99" t="s">
        <v>114</v>
      </c>
      <c r="H601" s="116" t="s">
        <v>84</v>
      </c>
      <c r="I601" s="106"/>
      <c r="J601" s="106"/>
      <c r="K601" s="106"/>
      <c r="L601" s="599"/>
    </row>
    <row r="602" spans="1:12" s="90" customFormat="1" ht="12.75" customHeight="1">
      <c r="A602" s="99" t="s">
        <v>114</v>
      </c>
      <c r="B602" s="116" t="s">
        <v>181</v>
      </c>
      <c r="C602" s="106"/>
      <c r="D602" s="106"/>
      <c r="E602" s="106"/>
      <c r="F602" s="599"/>
      <c r="G602" s="99" t="s">
        <v>115</v>
      </c>
      <c r="H602" s="116" t="s">
        <v>211</v>
      </c>
      <c r="I602" s="106">
        <v>114884</v>
      </c>
      <c r="J602" s="106">
        <v>114884</v>
      </c>
      <c r="K602" s="106">
        <v>114818</v>
      </c>
      <c r="L602" s="599">
        <f>+K602/J602</f>
        <v>0.9994255074684029</v>
      </c>
    </row>
    <row r="603" spans="1:12" s="90" customFormat="1" ht="12.75" customHeight="1">
      <c r="A603" s="112" t="s">
        <v>45</v>
      </c>
      <c r="B603" s="100" t="s">
        <v>118</v>
      </c>
      <c r="C603" s="101"/>
      <c r="D603" s="101"/>
      <c r="E603" s="101"/>
      <c r="F603" s="102"/>
      <c r="G603" s="112" t="s">
        <v>45</v>
      </c>
      <c r="H603" s="100" t="s">
        <v>130</v>
      </c>
      <c r="I603" s="101"/>
      <c r="J603" s="101"/>
      <c r="K603" s="101"/>
      <c r="L603" s="102"/>
    </row>
    <row r="604" spans="1:12" s="90" customFormat="1" ht="12.75" customHeight="1">
      <c r="A604" s="112" t="s">
        <v>111</v>
      </c>
      <c r="B604" s="100" t="s">
        <v>106</v>
      </c>
      <c r="C604" s="106"/>
      <c r="D604" s="106"/>
      <c r="E604" s="106"/>
      <c r="F604" s="599"/>
      <c r="G604" s="112" t="s">
        <v>111</v>
      </c>
      <c r="H604" s="100" t="s">
        <v>131</v>
      </c>
      <c r="I604" s="106"/>
      <c r="J604" s="106"/>
      <c r="K604" s="106"/>
      <c r="L604" s="599"/>
    </row>
    <row r="605" spans="1:12" s="90" customFormat="1" ht="12.75" customHeight="1">
      <c r="A605" s="112" t="s">
        <v>112</v>
      </c>
      <c r="B605" s="100" t="s">
        <v>39</v>
      </c>
      <c r="C605" s="106"/>
      <c r="D605" s="106"/>
      <c r="E605" s="106"/>
      <c r="F605" s="599"/>
      <c r="G605" s="112" t="s">
        <v>112</v>
      </c>
      <c r="H605" s="100" t="s">
        <v>87</v>
      </c>
      <c r="I605" s="106"/>
      <c r="J605" s="106"/>
      <c r="K605" s="106"/>
      <c r="L605" s="599"/>
    </row>
    <row r="606" spans="1:12" s="90" customFormat="1" ht="12.75" customHeight="1">
      <c r="A606" s="112" t="s">
        <v>113</v>
      </c>
      <c r="B606" s="100" t="s">
        <v>201</v>
      </c>
      <c r="C606" s="106"/>
      <c r="D606" s="106"/>
      <c r="E606" s="106"/>
      <c r="F606" s="599"/>
      <c r="G606" s="112" t="s">
        <v>113</v>
      </c>
      <c r="H606" s="100" t="s">
        <v>90</v>
      </c>
      <c r="I606" s="106"/>
      <c r="J606" s="106"/>
      <c r="K606" s="106"/>
      <c r="L606" s="599"/>
    </row>
    <row r="607" spans="1:12" s="90" customFormat="1" ht="12.75" customHeight="1">
      <c r="A607" s="112" t="s">
        <v>56</v>
      </c>
      <c r="B607" s="100" t="s">
        <v>126</v>
      </c>
      <c r="C607" s="101">
        <v>149010</v>
      </c>
      <c r="D607" s="101">
        <v>149010</v>
      </c>
      <c r="E607" s="101">
        <v>149010</v>
      </c>
      <c r="F607" s="102">
        <f>E607/D607</f>
        <v>1</v>
      </c>
      <c r="G607" s="112" t="s">
        <v>56</v>
      </c>
      <c r="H607" s="100" t="s">
        <v>132</v>
      </c>
      <c r="I607" s="101"/>
      <c r="J607" s="101"/>
      <c r="K607" s="101"/>
      <c r="L607" s="102"/>
    </row>
    <row r="608" spans="1:12" s="90" customFormat="1" ht="12.75" customHeight="1">
      <c r="A608" s="99" t="s">
        <v>64</v>
      </c>
      <c r="B608" s="116" t="s">
        <v>127</v>
      </c>
      <c r="C608" s="101"/>
      <c r="D608" s="101"/>
      <c r="E608" s="101"/>
      <c r="F608" s="102"/>
      <c r="G608" s="99" t="s">
        <v>64</v>
      </c>
      <c r="H608" s="116" t="s">
        <v>133</v>
      </c>
      <c r="I608" s="101"/>
      <c r="J608" s="101"/>
      <c r="K608" s="101"/>
      <c r="L608" s="102"/>
    </row>
    <row r="609" spans="1:12" s="124" customFormat="1" ht="12.75" customHeight="1" thickBot="1">
      <c r="A609" s="117"/>
      <c r="B609" s="118" t="s">
        <v>148</v>
      </c>
      <c r="C609" s="88">
        <f>+C597+C603+C607+C608</f>
        <v>149010</v>
      </c>
      <c r="D609" s="88">
        <f>+D597+D603+D607+D608</f>
        <v>149010</v>
      </c>
      <c r="E609" s="88">
        <f>+E597+E603+E607+E608</f>
        <v>149010</v>
      </c>
      <c r="F609" s="119">
        <f>+E609/D609</f>
        <v>1</v>
      </c>
      <c r="G609" s="117"/>
      <c r="H609" s="118" t="s">
        <v>149</v>
      </c>
      <c r="I609" s="88">
        <f>+I608+I607+I603+I597</f>
        <v>149010</v>
      </c>
      <c r="J609" s="88">
        <f>+J608+J607+J603+J597</f>
        <v>149010</v>
      </c>
      <c r="K609" s="88">
        <f>K597</f>
        <v>148944</v>
      </c>
      <c r="L609" s="119">
        <f>+K609/J609</f>
        <v>0.9995570767062614</v>
      </c>
    </row>
    <row r="610" spans="1:12" s="126" customFormat="1" ht="12.75" customHeight="1">
      <c r="A610" s="124"/>
      <c r="B610" s="124"/>
      <c r="C610" s="93"/>
      <c r="D610" s="93"/>
      <c r="E610" s="93"/>
      <c r="F610" s="93"/>
      <c r="G610" s="124"/>
      <c r="H610" s="124"/>
      <c r="I610" s="93"/>
      <c r="J610" s="93"/>
      <c r="K610" s="93"/>
      <c r="L610" s="93"/>
    </row>
    <row r="611" spans="1:12" s="90" customFormat="1" ht="12.75" customHeight="1" thickBot="1">
      <c r="A611" s="90" t="s">
        <v>254</v>
      </c>
      <c r="B611" s="124"/>
      <c r="E611" s="93"/>
      <c r="F611" s="93"/>
      <c r="G611" s="124"/>
      <c r="H611" s="124"/>
      <c r="I611" s="595"/>
      <c r="J611" s="595"/>
      <c r="K611" s="93"/>
      <c r="L611" s="596" t="s">
        <v>216</v>
      </c>
    </row>
    <row r="612" spans="1:12" s="90" customFormat="1" ht="24.75" customHeight="1">
      <c r="A612" s="96"/>
      <c r="B612" s="97" t="s">
        <v>104</v>
      </c>
      <c r="C612" s="86" t="s">
        <v>227</v>
      </c>
      <c r="D612" s="86" t="s">
        <v>844</v>
      </c>
      <c r="E612" s="86" t="s">
        <v>303</v>
      </c>
      <c r="F612" s="87" t="s">
        <v>304</v>
      </c>
      <c r="G612" s="96">
        <v>50</v>
      </c>
      <c r="H612" s="97" t="s">
        <v>105</v>
      </c>
      <c r="I612" s="86" t="s">
        <v>227</v>
      </c>
      <c r="J612" s="86" t="s">
        <v>844</v>
      </c>
      <c r="K612" s="86" t="s">
        <v>303</v>
      </c>
      <c r="L612" s="87" t="s">
        <v>304</v>
      </c>
    </row>
    <row r="613" spans="1:12" s="90" customFormat="1" ht="12.75" customHeight="1">
      <c r="A613" s="99" t="s">
        <v>23</v>
      </c>
      <c r="B613" s="100" t="s">
        <v>108</v>
      </c>
      <c r="C613" s="101">
        <f>+C614+C616+C617+C618</f>
        <v>3442789</v>
      </c>
      <c r="D613" s="101">
        <f>+D614+D616+D617+D618</f>
        <v>3442789</v>
      </c>
      <c r="E613" s="101">
        <f>+E614+E616+E617+E618</f>
        <v>1419868</v>
      </c>
      <c r="F613" s="102">
        <f>E613/D613</f>
        <v>0.41241795532633574</v>
      </c>
      <c r="G613" s="99" t="s">
        <v>23</v>
      </c>
      <c r="H613" s="100" t="s">
        <v>129</v>
      </c>
      <c r="I613" s="101">
        <f>SUM(I614:I618)</f>
        <v>4975750</v>
      </c>
      <c r="J613" s="101">
        <f>SUM(J614:J618)</f>
        <v>4975750</v>
      </c>
      <c r="K613" s="101">
        <f>SUM(K614:K618)</f>
        <v>4975750</v>
      </c>
      <c r="L613" s="102">
        <f>+K613/J613</f>
        <v>1</v>
      </c>
    </row>
    <row r="614" spans="1:12" s="90" customFormat="1" ht="12.75" customHeight="1">
      <c r="A614" s="99" t="s">
        <v>111</v>
      </c>
      <c r="B614" s="116" t="s">
        <v>209</v>
      </c>
      <c r="C614" s="106">
        <f>C615</f>
        <v>3442789</v>
      </c>
      <c r="D614" s="106">
        <f>D615</f>
        <v>3442789</v>
      </c>
      <c r="E614" s="106">
        <f>E615</f>
        <v>1419868</v>
      </c>
      <c r="F614" s="599">
        <f>E614/D614</f>
        <v>0.41241795532633574</v>
      </c>
      <c r="G614" s="99" t="s">
        <v>111</v>
      </c>
      <c r="H614" s="116" t="s">
        <v>80</v>
      </c>
      <c r="I614" s="106"/>
      <c r="J614" s="106"/>
      <c r="K614" s="106"/>
      <c r="L614" s="599"/>
    </row>
    <row r="615" spans="1:12" s="90" customFormat="1" ht="12.75" customHeight="1">
      <c r="A615" s="99"/>
      <c r="B615" s="116" t="s">
        <v>210</v>
      </c>
      <c r="C615" s="106">
        <f>1419868+2022921</f>
        <v>3442789</v>
      </c>
      <c r="D615" s="106">
        <f>1419868+2022921</f>
        <v>3442789</v>
      </c>
      <c r="E615" s="106">
        <v>1419868</v>
      </c>
      <c r="F615" s="599">
        <f>E615/D615</f>
        <v>0.41241795532633574</v>
      </c>
      <c r="G615" s="99" t="s">
        <v>112</v>
      </c>
      <c r="H615" s="116" t="s">
        <v>147</v>
      </c>
      <c r="I615" s="106"/>
      <c r="J615" s="106"/>
      <c r="K615" s="106"/>
      <c r="L615" s="599"/>
    </row>
    <row r="616" spans="1:12" s="90" customFormat="1" ht="12.75" customHeight="1">
      <c r="A616" s="99" t="s">
        <v>112</v>
      </c>
      <c r="B616" s="116" t="s">
        <v>9</v>
      </c>
      <c r="C616" s="106"/>
      <c r="D616" s="106"/>
      <c r="E616" s="106"/>
      <c r="F616" s="599"/>
      <c r="G616" s="99" t="s">
        <v>113</v>
      </c>
      <c r="H616" s="116" t="s">
        <v>83</v>
      </c>
      <c r="I616" s="106"/>
      <c r="J616" s="106"/>
      <c r="K616" s="106"/>
      <c r="L616" s="599"/>
    </row>
    <row r="617" spans="1:12" s="90" customFormat="1" ht="12.75" customHeight="1">
      <c r="A617" s="99" t="s">
        <v>113</v>
      </c>
      <c r="B617" s="116" t="s">
        <v>170</v>
      </c>
      <c r="C617" s="106"/>
      <c r="D617" s="106"/>
      <c r="E617" s="106"/>
      <c r="F617" s="599"/>
      <c r="G617" s="99" t="s">
        <v>114</v>
      </c>
      <c r="H617" s="116" t="s">
        <v>84</v>
      </c>
      <c r="I617" s="106"/>
      <c r="J617" s="106"/>
      <c r="K617" s="106"/>
      <c r="L617" s="599"/>
    </row>
    <row r="618" spans="1:12" s="90" customFormat="1" ht="12.75" customHeight="1">
      <c r="A618" s="99" t="s">
        <v>114</v>
      </c>
      <c r="B618" s="116" t="s">
        <v>181</v>
      </c>
      <c r="C618" s="106"/>
      <c r="D618" s="106"/>
      <c r="E618" s="106"/>
      <c r="F618" s="599"/>
      <c r="G618" s="99" t="s">
        <v>115</v>
      </c>
      <c r="H618" s="116" t="s">
        <v>211</v>
      </c>
      <c r="I618" s="106">
        <v>4975750</v>
      </c>
      <c r="J618" s="106">
        <v>4975750</v>
      </c>
      <c r="K618" s="106">
        <v>4975750</v>
      </c>
      <c r="L618" s="599">
        <v>1</v>
      </c>
    </row>
    <row r="619" spans="1:12" s="90" customFormat="1" ht="12.75" customHeight="1">
      <c r="A619" s="112" t="s">
        <v>45</v>
      </c>
      <c r="B619" s="100" t="s">
        <v>118</v>
      </c>
      <c r="C619" s="101"/>
      <c r="D619" s="101"/>
      <c r="E619" s="101"/>
      <c r="F619" s="102"/>
      <c r="G619" s="112" t="s">
        <v>45</v>
      </c>
      <c r="H619" s="100" t="s">
        <v>130</v>
      </c>
      <c r="I619" s="101"/>
      <c r="J619" s="101"/>
      <c r="K619" s="101"/>
      <c r="L619" s="102"/>
    </row>
    <row r="620" spans="1:12" s="90" customFormat="1" ht="12.75" customHeight="1">
      <c r="A620" s="112" t="s">
        <v>111</v>
      </c>
      <c r="B620" s="100" t="s">
        <v>106</v>
      </c>
      <c r="C620" s="106"/>
      <c r="D620" s="106"/>
      <c r="E620" s="106"/>
      <c r="F620" s="599"/>
      <c r="G620" s="112" t="s">
        <v>111</v>
      </c>
      <c r="H620" s="100" t="s">
        <v>131</v>
      </c>
      <c r="I620" s="106"/>
      <c r="J620" s="106"/>
      <c r="K620" s="106"/>
      <c r="L620" s="599"/>
    </row>
    <row r="621" spans="1:12" s="90" customFormat="1" ht="12.75" customHeight="1">
      <c r="A621" s="112" t="s">
        <v>112</v>
      </c>
      <c r="B621" s="100" t="s">
        <v>39</v>
      </c>
      <c r="C621" s="106"/>
      <c r="D621" s="106"/>
      <c r="E621" s="106"/>
      <c r="F621" s="599"/>
      <c r="G621" s="112" t="s">
        <v>112</v>
      </c>
      <c r="H621" s="100" t="s">
        <v>87</v>
      </c>
      <c r="I621" s="106"/>
      <c r="J621" s="106"/>
      <c r="K621" s="106"/>
      <c r="L621" s="599"/>
    </row>
    <row r="622" spans="1:12" s="90" customFormat="1" ht="12.75" customHeight="1">
      <c r="A622" s="112" t="s">
        <v>113</v>
      </c>
      <c r="B622" s="100" t="s">
        <v>201</v>
      </c>
      <c r="C622" s="106"/>
      <c r="D622" s="106"/>
      <c r="E622" s="106"/>
      <c r="F622" s="599"/>
      <c r="G622" s="112" t="s">
        <v>113</v>
      </c>
      <c r="H622" s="100" t="s">
        <v>90</v>
      </c>
      <c r="I622" s="106"/>
      <c r="J622" s="106"/>
      <c r="K622" s="106"/>
      <c r="L622" s="599"/>
    </row>
    <row r="623" spans="1:12" s="90" customFormat="1" ht="12.75" customHeight="1">
      <c r="A623" s="112" t="s">
        <v>56</v>
      </c>
      <c r="B623" s="100" t="s">
        <v>126</v>
      </c>
      <c r="C623" s="101">
        <v>1532961</v>
      </c>
      <c r="D623" s="101">
        <v>1532961</v>
      </c>
      <c r="E623" s="101">
        <v>1532961</v>
      </c>
      <c r="F623" s="102">
        <f>E623/D623</f>
        <v>1</v>
      </c>
      <c r="G623" s="112" t="s">
        <v>56</v>
      </c>
      <c r="H623" s="100" t="s">
        <v>132</v>
      </c>
      <c r="I623" s="101"/>
      <c r="J623" s="101"/>
      <c r="K623" s="101"/>
      <c r="L623" s="102"/>
    </row>
    <row r="624" spans="1:12" s="90" customFormat="1" ht="12.75" customHeight="1">
      <c r="A624" s="99" t="s">
        <v>64</v>
      </c>
      <c r="B624" s="116" t="s">
        <v>127</v>
      </c>
      <c r="C624" s="101"/>
      <c r="D624" s="101"/>
      <c r="E624" s="101"/>
      <c r="F624" s="102"/>
      <c r="G624" s="99" t="s">
        <v>64</v>
      </c>
      <c r="H624" s="116" t="s">
        <v>133</v>
      </c>
      <c r="I624" s="101"/>
      <c r="J624" s="101"/>
      <c r="K624" s="101"/>
      <c r="L624" s="102"/>
    </row>
    <row r="625" spans="1:12" s="124" customFormat="1" ht="12.75" customHeight="1" thickBot="1">
      <c r="A625" s="117"/>
      <c r="B625" s="118" t="s">
        <v>148</v>
      </c>
      <c r="C625" s="88">
        <f>+C613+C619+C623+C624</f>
        <v>4975750</v>
      </c>
      <c r="D625" s="88">
        <f>+D613+D619+D623+D624</f>
        <v>4975750</v>
      </c>
      <c r="E625" s="88">
        <f>+E613+E619+E623+E624</f>
        <v>2952829</v>
      </c>
      <c r="F625" s="119">
        <f>E625/D625</f>
        <v>0.5934440034165703</v>
      </c>
      <c r="G625" s="117"/>
      <c r="H625" s="118" t="s">
        <v>149</v>
      </c>
      <c r="I625" s="88">
        <f>I613+I619+I623+I624</f>
        <v>4975750</v>
      </c>
      <c r="J625" s="88">
        <f>J613+J619+J623+J624</f>
        <v>4975750</v>
      </c>
      <c r="K625" s="88">
        <f>K613+K619+K623+K624</f>
        <v>4975750</v>
      </c>
      <c r="L625" s="119">
        <f>+K625/J625</f>
        <v>1</v>
      </c>
    </row>
    <row r="626" spans="1:12" s="126" customFormat="1" ht="12.75" customHeight="1">
      <c r="A626" s="124"/>
      <c r="B626" s="124"/>
      <c r="C626" s="93"/>
      <c r="D626" s="93"/>
      <c r="E626" s="639"/>
      <c r="F626" s="639"/>
      <c r="G626" s="124"/>
      <c r="H626" s="124"/>
      <c r="I626" s="93"/>
      <c r="J626" s="93"/>
      <c r="K626" s="639"/>
      <c r="L626" s="639"/>
    </row>
    <row r="627" spans="1:12" s="90" customFormat="1" ht="12.75" customHeight="1" thickBot="1">
      <c r="A627" s="90" t="s">
        <v>805</v>
      </c>
      <c r="B627" s="124"/>
      <c r="C627" s="93"/>
      <c r="D627" s="93"/>
      <c r="E627" s="93"/>
      <c r="F627" s="93"/>
      <c r="G627" s="124"/>
      <c r="H627" s="124"/>
      <c r="I627" s="595"/>
      <c r="J627" s="595"/>
      <c r="K627" s="93"/>
      <c r="L627" s="596" t="s">
        <v>216</v>
      </c>
    </row>
    <row r="628" spans="1:12" s="90" customFormat="1" ht="24.75" customHeight="1">
      <c r="A628" s="96"/>
      <c r="B628" s="97" t="s">
        <v>104</v>
      </c>
      <c r="C628" s="86" t="s">
        <v>227</v>
      </c>
      <c r="D628" s="86" t="s">
        <v>844</v>
      </c>
      <c r="E628" s="86" t="s">
        <v>303</v>
      </c>
      <c r="F628" s="87" t="s">
        <v>304</v>
      </c>
      <c r="G628" s="96">
        <v>51</v>
      </c>
      <c r="H628" s="97" t="s">
        <v>105</v>
      </c>
      <c r="I628" s="86" t="s">
        <v>227</v>
      </c>
      <c r="J628" s="86" t="s">
        <v>844</v>
      </c>
      <c r="K628" s="86" t="s">
        <v>303</v>
      </c>
      <c r="L628" s="87" t="s">
        <v>304</v>
      </c>
    </row>
    <row r="629" spans="1:12" s="90" customFormat="1" ht="12.75" customHeight="1">
      <c r="A629" s="99" t="s">
        <v>23</v>
      </c>
      <c r="B629" s="100" t="s">
        <v>108</v>
      </c>
      <c r="C629" s="101"/>
      <c r="D629" s="101"/>
      <c r="E629" s="101"/>
      <c r="F629" s="102"/>
      <c r="G629" s="99" t="s">
        <v>23</v>
      </c>
      <c r="H629" s="100" t="s">
        <v>129</v>
      </c>
      <c r="I629" s="101">
        <f>SUM(I630:I634)</f>
        <v>632659</v>
      </c>
      <c r="J629" s="101">
        <f>SUM(J630:J634)</f>
        <v>632659</v>
      </c>
      <c r="K629" s="101">
        <f>SUM(K630:K634)</f>
        <v>487267</v>
      </c>
      <c r="L629" s="102">
        <f>+K629/J629</f>
        <v>0.7701889959678121</v>
      </c>
    </row>
    <row r="630" spans="1:12" s="90" customFormat="1" ht="12.75" customHeight="1">
      <c r="A630" s="99" t="s">
        <v>111</v>
      </c>
      <c r="B630" s="116" t="s">
        <v>209</v>
      </c>
      <c r="C630" s="106"/>
      <c r="D630" s="106"/>
      <c r="E630" s="106"/>
      <c r="F630" s="599"/>
      <c r="G630" s="99" t="s">
        <v>111</v>
      </c>
      <c r="H630" s="116" t="s">
        <v>80</v>
      </c>
      <c r="I630" s="106">
        <v>327769</v>
      </c>
      <c r="J630" s="106">
        <v>443887</v>
      </c>
      <c r="K630" s="106">
        <v>417473</v>
      </c>
      <c r="L630" s="599">
        <f>+K630/J630</f>
        <v>0.9404938644294607</v>
      </c>
    </row>
    <row r="631" spans="1:12" s="90" customFormat="1" ht="12.75" customHeight="1">
      <c r="A631" s="99"/>
      <c r="B631" s="116" t="s">
        <v>210</v>
      </c>
      <c r="C631" s="106"/>
      <c r="D631" s="106"/>
      <c r="E631" s="106"/>
      <c r="F631" s="599"/>
      <c r="G631" s="99" t="s">
        <v>112</v>
      </c>
      <c r="H631" s="116" t="s">
        <v>147</v>
      </c>
      <c r="I631" s="106">
        <v>68296</v>
      </c>
      <c r="J631" s="106">
        <v>73888</v>
      </c>
      <c r="K631" s="106">
        <v>69794</v>
      </c>
      <c r="L631" s="599">
        <f>+K631/J631</f>
        <v>0.9445918146383716</v>
      </c>
    </row>
    <row r="632" spans="1:12" s="90" customFormat="1" ht="12.75" customHeight="1">
      <c r="A632" s="99" t="s">
        <v>112</v>
      </c>
      <c r="B632" s="116" t="s">
        <v>9</v>
      </c>
      <c r="C632" s="106"/>
      <c r="D632" s="106"/>
      <c r="E632" s="106"/>
      <c r="F632" s="599"/>
      <c r="G632" s="99" t="s">
        <v>113</v>
      </c>
      <c r="H632" s="116" t="s">
        <v>83</v>
      </c>
      <c r="I632" s="106">
        <f>186294+50300</f>
        <v>236594</v>
      </c>
      <c r="J632" s="106">
        <v>114884</v>
      </c>
      <c r="K632" s="106">
        <v>0</v>
      </c>
      <c r="L632" s="599">
        <f>+K632/J632+IF(L632=0/0,0%)</f>
        <v>0</v>
      </c>
    </row>
    <row r="633" spans="1:12" s="90" customFormat="1" ht="12.75" customHeight="1">
      <c r="A633" s="99" t="s">
        <v>113</v>
      </c>
      <c r="B633" s="116" t="s">
        <v>170</v>
      </c>
      <c r="C633" s="106"/>
      <c r="D633" s="106"/>
      <c r="E633" s="106"/>
      <c r="F633" s="599"/>
      <c r="G633" s="99" t="s">
        <v>114</v>
      </c>
      <c r="H633" s="116" t="s">
        <v>84</v>
      </c>
      <c r="I633" s="106"/>
      <c r="J633" s="106"/>
      <c r="K633" s="106"/>
      <c r="L633" s="599"/>
    </row>
    <row r="634" spans="1:12" s="90" customFormat="1" ht="12.75" customHeight="1">
      <c r="A634" s="99" t="s">
        <v>114</v>
      </c>
      <c r="B634" s="116" t="s">
        <v>181</v>
      </c>
      <c r="C634" s="106"/>
      <c r="D634" s="106"/>
      <c r="E634" s="106"/>
      <c r="F634" s="599"/>
      <c r="G634" s="99" t="s">
        <v>115</v>
      </c>
      <c r="H634" s="116" t="s">
        <v>211</v>
      </c>
      <c r="I634" s="106"/>
      <c r="J634" s="106"/>
      <c r="K634" s="106"/>
      <c r="L634" s="599"/>
    </row>
    <row r="635" spans="1:12" s="90" customFormat="1" ht="12.75" customHeight="1">
      <c r="A635" s="112" t="s">
        <v>45</v>
      </c>
      <c r="B635" s="100" t="s">
        <v>118</v>
      </c>
      <c r="C635" s="101"/>
      <c r="D635" s="101"/>
      <c r="E635" s="101"/>
      <c r="F635" s="102"/>
      <c r="G635" s="112" t="s">
        <v>45</v>
      </c>
      <c r="H635" s="100" t="s">
        <v>130</v>
      </c>
      <c r="I635" s="101"/>
      <c r="J635" s="101"/>
      <c r="K635" s="101"/>
      <c r="L635" s="102"/>
    </row>
    <row r="636" spans="1:12" s="90" customFormat="1" ht="12.75" customHeight="1">
      <c r="A636" s="112" t="s">
        <v>111</v>
      </c>
      <c r="B636" s="100" t="s">
        <v>106</v>
      </c>
      <c r="C636" s="106"/>
      <c r="D636" s="106"/>
      <c r="E636" s="106"/>
      <c r="F636" s="599"/>
      <c r="G636" s="112" t="s">
        <v>111</v>
      </c>
      <c r="H636" s="100" t="s">
        <v>131</v>
      </c>
      <c r="I636" s="106"/>
      <c r="J636" s="106"/>
      <c r="K636" s="106"/>
      <c r="L636" s="599"/>
    </row>
    <row r="637" spans="1:12" s="90" customFormat="1" ht="12.75" customHeight="1">
      <c r="A637" s="112" t="s">
        <v>112</v>
      </c>
      <c r="B637" s="100" t="s">
        <v>39</v>
      </c>
      <c r="C637" s="106"/>
      <c r="D637" s="106"/>
      <c r="E637" s="106"/>
      <c r="F637" s="599"/>
      <c r="G637" s="112" t="s">
        <v>112</v>
      </c>
      <c r="H637" s="100" t="s">
        <v>87</v>
      </c>
      <c r="I637" s="106"/>
      <c r="J637" s="106"/>
      <c r="K637" s="106"/>
      <c r="L637" s="599"/>
    </row>
    <row r="638" spans="1:12" s="90" customFormat="1" ht="12.75" customHeight="1">
      <c r="A638" s="112" t="s">
        <v>113</v>
      </c>
      <c r="B638" s="100" t="s">
        <v>201</v>
      </c>
      <c r="C638" s="106"/>
      <c r="D638" s="106"/>
      <c r="E638" s="106"/>
      <c r="F638" s="599"/>
      <c r="G638" s="112" t="s">
        <v>113</v>
      </c>
      <c r="H638" s="100" t="s">
        <v>90</v>
      </c>
      <c r="I638" s="106"/>
      <c r="J638" s="106"/>
      <c r="K638" s="106"/>
      <c r="L638" s="599"/>
    </row>
    <row r="639" spans="1:12" s="90" customFormat="1" ht="12.75" customHeight="1">
      <c r="A639" s="112" t="s">
        <v>56</v>
      </c>
      <c r="B639" s="100" t="s">
        <v>126</v>
      </c>
      <c r="C639" s="101">
        <v>632659</v>
      </c>
      <c r="D639" s="101">
        <v>632659</v>
      </c>
      <c r="E639" s="101">
        <v>632659</v>
      </c>
      <c r="F639" s="102">
        <f>+E639/D639</f>
        <v>1</v>
      </c>
      <c r="G639" s="112" t="s">
        <v>56</v>
      </c>
      <c r="H639" s="100" t="s">
        <v>132</v>
      </c>
      <c r="I639" s="101"/>
      <c r="J639" s="101"/>
      <c r="K639" s="101"/>
      <c r="L639" s="102"/>
    </row>
    <row r="640" spans="1:12" s="90" customFormat="1" ht="12.75" customHeight="1">
      <c r="A640" s="99" t="s">
        <v>64</v>
      </c>
      <c r="B640" s="116" t="s">
        <v>127</v>
      </c>
      <c r="C640" s="101"/>
      <c r="D640" s="101"/>
      <c r="E640" s="101"/>
      <c r="F640" s="102"/>
      <c r="G640" s="99" t="s">
        <v>64</v>
      </c>
      <c r="H640" s="116" t="s">
        <v>133</v>
      </c>
      <c r="I640" s="101"/>
      <c r="J640" s="101"/>
      <c r="K640" s="101"/>
      <c r="L640" s="102"/>
    </row>
    <row r="641" spans="1:12" s="124" customFormat="1" ht="12.75" customHeight="1" thickBot="1">
      <c r="A641" s="117"/>
      <c r="B641" s="118" t="s">
        <v>148</v>
      </c>
      <c r="C641" s="88">
        <f>+C629+C635+C639+C640</f>
        <v>632659</v>
      </c>
      <c r="D641" s="88">
        <f>+D629+D635+D639+D640</f>
        <v>632659</v>
      </c>
      <c r="E641" s="88">
        <f>+E629+E635+E639+E640</f>
        <v>632659</v>
      </c>
      <c r="F641" s="119">
        <f>+E641/D641</f>
        <v>1</v>
      </c>
      <c r="G641" s="117"/>
      <c r="H641" s="118" t="s">
        <v>149</v>
      </c>
      <c r="I641" s="88">
        <f>+I640+I639+I635+I629</f>
        <v>632659</v>
      </c>
      <c r="J641" s="88">
        <f>+J640+J639+J635+J629</f>
        <v>632659</v>
      </c>
      <c r="K641" s="88">
        <f>K629</f>
        <v>487267</v>
      </c>
      <c r="L641" s="119">
        <f>+K641/J641</f>
        <v>0.7701889959678121</v>
      </c>
    </row>
    <row r="642" spans="1:12" s="126" customFormat="1" ht="12.75" customHeight="1">
      <c r="A642" s="124"/>
      <c r="B642" s="124"/>
      <c r="C642" s="93"/>
      <c r="D642" s="93"/>
      <c r="E642" s="595"/>
      <c r="F642" s="595"/>
      <c r="G642" s="124"/>
      <c r="H642" s="124"/>
      <c r="I642" s="93"/>
      <c r="J642" s="93"/>
      <c r="K642" s="595"/>
      <c r="L642" s="595"/>
    </row>
    <row r="643" spans="1:12" s="90" customFormat="1" ht="12.75" customHeight="1" thickBot="1">
      <c r="A643" s="90" t="s">
        <v>257</v>
      </c>
      <c r="B643" s="124"/>
      <c r="E643" s="93"/>
      <c r="F643" s="93"/>
      <c r="G643" s="124"/>
      <c r="H643" s="124"/>
      <c r="I643" s="595"/>
      <c r="J643" s="595"/>
      <c r="K643" s="93"/>
      <c r="L643" s="596" t="s">
        <v>216</v>
      </c>
    </row>
    <row r="644" spans="1:12" s="90" customFormat="1" ht="24.75" customHeight="1">
      <c r="A644" s="96"/>
      <c r="B644" s="97" t="s">
        <v>104</v>
      </c>
      <c r="C644" s="86" t="s">
        <v>227</v>
      </c>
      <c r="D644" s="86" t="s">
        <v>844</v>
      </c>
      <c r="E644" s="86" t="s">
        <v>303</v>
      </c>
      <c r="F644" s="87" t="s">
        <v>304</v>
      </c>
      <c r="G644" s="96">
        <v>52</v>
      </c>
      <c r="H644" s="97" t="s">
        <v>105</v>
      </c>
      <c r="I644" s="86" t="s">
        <v>227</v>
      </c>
      <c r="J644" s="86" t="s">
        <v>844</v>
      </c>
      <c r="K644" s="86" t="s">
        <v>303</v>
      </c>
      <c r="L644" s="87" t="s">
        <v>304</v>
      </c>
    </row>
    <row r="645" spans="1:12" s="90" customFormat="1" ht="12.75" customHeight="1">
      <c r="A645" s="99" t="s">
        <v>23</v>
      </c>
      <c r="B645" s="100" t="s">
        <v>108</v>
      </c>
      <c r="C645" s="101"/>
      <c r="D645" s="101"/>
      <c r="E645" s="101"/>
      <c r="F645" s="102"/>
      <c r="G645" s="99" t="s">
        <v>23</v>
      </c>
      <c r="H645" s="100" t="s">
        <v>129</v>
      </c>
      <c r="I645" s="101">
        <f>SUM(I646:I650)</f>
        <v>1977168</v>
      </c>
      <c r="J645" s="101">
        <f>SUM(J646:J650)</f>
        <v>1977168</v>
      </c>
      <c r="K645" s="101">
        <f>SUM(K646:K650)</f>
        <v>1058381</v>
      </c>
      <c r="L645" s="102">
        <f>+K645/J645</f>
        <v>0.5353015019462181</v>
      </c>
    </row>
    <row r="646" spans="1:12" s="90" customFormat="1" ht="12.75" customHeight="1">
      <c r="A646" s="99" t="s">
        <v>111</v>
      </c>
      <c r="B646" s="116" t="s">
        <v>209</v>
      </c>
      <c r="C646" s="106"/>
      <c r="D646" s="106"/>
      <c r="E646" s="106"/>
      <c r="F646" s="599"/>
      <c r="G646" s="99" t="s">
        <v>111</v>
      </c>
      <c r="H646" s="116" t="s">
        <v>80</v>
      </c>
      <c r="I646" s="106">
        <v>263170</v>
      </c>
      <c r="J646" s="106">
        <v>263170</v>
      </c>
      <c r="K646" s="106">
        <v>263170</v>
      </c>
      <c r="L646" s="599">
        <f>+K646/J646</f>
        <v>1</v>
      </c>
    </row>
    <row r="647" spans="1:12" s="90" customFormat="1" ht="12.75" customHeight="1">
      <c r="A647" s="99"/>
      <c r="B647" s="116" t="s">
        <v>210</v>
      </c>
      <c r="C647" s="106"/>
      <c r="D647" s="106"/>
      <c r="E647" s="106"/>
      <c r="F647" s="599"/>
      <c r="G647" s="99" t="s">
        <v>112</v>
      </c>
      <c r="H647" s="116" t="s">
        <v>147</v>
      </c>
      <c r="I647" s="106">
        <v>45998</v>
      </c>
      <c r="J647" s="106">
        <v>45998</v>
      </c>
      <c r="K647" s="106">
        <v>45911</v>
      </c>
      <c r="L647" s="599">
        <f>+K647/J647</f>
        <v>0.9981086134179747</v>
      </c>
    </row>
    <row r="648" spans="1:12" s="90" customFormat="1" ht="12.75" customHeight="1">
      <c r="A648" s="99" t="s">
        <v>112</v>
      </c>
      <c r="B648" s="116" t="s">
        <v>9</v>
      </c>
      <c r="C648" s="106"/>
      <c r="D648" s="106"/>
      <c r="E648" s="106"/>
      <c r="F648" s="599"/>
      <c r="G648" s="99" t="s">
        <v>113</v>
      </c>
      <c r="H648" s="116" t="s">
        <v>83</v>
      </c>
      <c r="I648" s="106">
        <v>1668000</v>
      </c>
      <c r="J648" s="106">
        <v>1668000</v>
      </c>
      <c r="K648" s="106">
        <v>749300</v>
      </c>
      <c r="L648" s="599">
        <f>+K648/J648</f>
        <v>0.44922062350119907</v>
      </c>
    </row>
    <row r="649" spans="1:12" s="90" customFormat="1" ht="12.75" customHeight="1">
      <c r="A649" s="99" t="s">
        <v>113</v>
      </c>
      <c r="B649" s="116" t="s">
        <v>170</v>
      </c>
      <c r="C649" s="106"/>
      <c r="D649" s="106"/>
      <c r="E649" s="106"/>
      <c r="F649" s="599"/>
      <c r="G649" s="99" t="s">
        <v>114</v>
      </c>
      <c r="H649" s="116" t="s">
        <v>84</v>
      </c>
      <c r="I649" s="106"/>
      <c r="J649" s="106"/>
      <c r="K649" s="106"/>
      <c r="L649" s="599"/>
    </row>
    <row r="650" spans="1:12" s="90" customFormat="1" ht="12.75" customHeight="1">
      <c r="A650" s="99" t="s">
        <v>114</v>
      </c>
      <c r="B650" s="116" t="s">
        <v>181</v>
      </c>
      <c r="C650" s="106"/>
      <c r="D650" s="106"/>
      <c r="E650" s="106"/>
      <c r="F650" s="599"/>
      <c r="G650" s="99" t="s">
        <v>115</v>
      </c>
      <c r="H650" s="116" t="s">
        <v>211</v>
      </c>
      <c r="I650" s="106"/>
      <c r="J650" s="106"/>
      <c r="K650" s="106"/>
      <c r="L650" s="599"/>
    </row>
    <row r="651" spans="1:12" s="90" customFormat="1" ht="12.75" customHeight="1">
      <c r="A651" s="112" t="s">
        <v>45</v>
      </c>
      <c r="B651" s="100" t="s">
        <v>118</v>
      </c>
      <c r="C651" s="101"/>
      <c r="D651" s="101"/>
      <c r="E651" s="101"/>
      <c r="F651" s="102"/>
      <c r="G651" s="112" t="s">
        <v>45</v>
      </c>
      <c r="H651" s="100" t="s">
        <v>130</v>
      </c>
      <c r="I651" s="101"/>
      <c r="J651" s="101"/>
      <c r="K651" s="101"/>
      <c r="L651" s="102"/>
    </row>
    <row r="652" spans="1:12" s="90" customFormat="1" ht="12.75" customHeight="1">
      <c r="A652" s="112" t="s">
        <v>111</v>
      </c>
      <c r="B652" s="100" t="s">
        <v>106</v>
      </c>
      <c r="C652" s="106"/>
      <c r="D652" s="106"/>
      <c r="E652" s="106"/>
      <c r="F652" s="599"/>
      <c r="G652" s="112" t="s">
        <v>111</v>
      </c>
      <c r="H652" s="100" t="s">
        <v>131</v>
      </c>
      <c r="I652" s="106"/>
      <c r="J652" s="106"/>
      <c r="K652" s="106"/>
      <c r="L652" s="599"/>
    </row>
    <row r="653" spans="1:12" s="90" customFormat="1" ht="12.75" customHeight="1">
      <c r="A653" s="112" t="s">
        <v>112</v>
      </c>
      <c r="B653" s="100" t="s">
        <v>39</v>
      </c>
      <c r="C653" s="106"/>
      <c r="D653" s="106"/>
      <c r="E653" s="106"/>
      <c r="F653" s="599"/>
      <c r="G653" s="112" t="s">
        <v>112</v>
      </c>
      <c r="H653" s="100" t="s">
        <v>87</v>
      </c>
      <c r="I653" s="106"/>
      <c r="J653" s="106"/>
      <c r="K653" s="106"/>
      <c r="L653" s="599"/>
    </row>
    <row r="654" spans="1:12" s="90" customFormat="1" ht="12.75" customHeight="1">
      <c r="A654" s="112" t="s">
        <v>113</v>
      </c>
      <c r="B654" s="100" t="s">
        <v>201</v>
      </c>
      <c r="C654" s="106"/>
      <c r="D654" s="106"/>
      <c r="E654" s="106"/>
      <c r="F654" s="599"/>
      <c r="G654" s="112" t="s">
        <v>113</v>
      </c>
      <c r="H654" s="100" t="s">
        <v>90</v>
      </c>
      <c r="I654" s="106"/>
      <c r="J654" s="106"/>
      <c r="K654" s="106"/>
      <c r="L654" s="599"/>
    </row>
    <row r="655" spans="1:12" s="90" customFormat="1" ht="12.75" customHeight="1">
      <c r="A655" s="112" t="s">
        <v>56</v>
      </c>
      <c r="B655" s="100" t="s">
        <v>126</v>
      </c>
      <c r="C655" s="101">
        <v>1977168</v>
      </c>
      <c r="D655" s="101">
        <v>1977168</v>
      </c>
      <c r="E655" s="101">
        <v>1977168</v>
      </c>
      <c r="F655" s="102">
        <f>+E655/D655</f>
        <v>1</v>
      </c>
      <c r="G655" s="112" t="s">
        <v>56</v>
      </c>
      <c r="H655" s="100" t="s">
        <v>132</v>
      </c>
      <c r="I655" s="101"/>
      <c r="J655" s="101"/>
      <c r="K655" s="101"/>
      <c r="L655" s="102"/>
    </row>
    <row r="656" spans="1:12" s="90" customFormat="1" ht="12.75" customHeight="1">
      <c r="A656" s="99" t="s">
        <v>64</v>
      </c>
      <c r="B656" s="116" t="s">
        <v>127</v>
      </c>
      <c r="C656" s="101"/>
      <c r="D656" s="101"/>
      <c r="E656" s="101"/>
      <c r="F656" s="102"/>
      <c r="G656" s="99" t="s">
        <v>64</v>
      </c>
      <c r="H656" s="116" t="s">
        <v>133</v>
      </c>
      <c r="I656" s="101"/>
      <c r="J656" s="101"/>
      <c r="K656" s="101"/>
      <c r="L656" s="102"/>
    </row>
    <row r="657" spans="1:12" s="124" customFormat="1" ht="12.75" customHeight="1" thickBot="1">
      <c r="A657" s="117"/>
      <c r="B657" s="118" t="s">
        <v>148</v>
      </c>
      <c r="C657" s="88">
        <f>+C645+C651+C655+C656</f>
        <v>1977168</v>
      </c>
      <c r="D657" s="88">
        <f>+D645+D651+D655+D656</f>
        <v>1977168</v>
      </c>
      <c r="E657" s="88">
        <f>+E645+E651+E655+E656</f>
        <v>1977168</v>
      </c>
      <c r="F657" s="119">
        <f>+E657/D657</f>
        <v>1</v>
      </c>
      <c r="G657" s="117"/>
      <c r="H657" s="118" t="s">
        <v>149</v>
      </c>
      <c r="I657" s="88">
        <f>I645+I651+I655+I656</f>
        <v>1977168</v>
      </c>
      <c r="J657" s="88">
        <f>J645+J651+J655+J656</f>
        <v>1977168</v>
      </c>
      <c r="K657" s="88">
        <f>K645+K651+K655+K656</f>
        <v>1058381</v>
      </c>
      <c r="L657" s="119">
        <f>+K657/J657</f>
        <v>0.5353015019462181</v>
      </c>
    </row>
    <row r="658" spans="1:12" s="126" customFormat="1" ht="15">
      <c r="A658" s="124"/>
      <c r="B658" s="124"/>
      <c r="C658" s="93"/>
      <c r="D658" s="93"/>
      <c r="E658" s="93"/>
      <c r="F658" s="93"/>
      <c r="G658" s="124"/>
      <c r="H658" s="124"/>
      <c r="I658" s="93"/>
      <c r="J658" s="93"/>
      <c r="K658" s="93"/>
      <c r="L658" s="93"/>
    </row>
    <row r="659" spans="1:12" s="90" customFormat="1" ht="12.75" customHeight="1" thickBot="1">
      <c r="A659" s="90" t="s">
        <v>806</v>
      </c>
      <c r="B659" s="124"/>
      <c r="C659" s="93"/>
      <c r="D659" s="93"/>
      <c r="E659" s="93"/>
      <c r="F659" s="93"/>
      <c r="G659" s="124"/>
      <c r="H659" s="124"/>
      <c r="I659" s="595"/>
      <c r="J659" s="595"/>
      <c r="K659" s="93"/>
      <c r="L659" s="596" t="s">
        <v>216</v>
      </c>
    </row>
    <row r="660" spans="1:12" s="90" customFormat="1" ht="24.75" customHeight="1">
      <c r="A660" s="96"/>
      <c r="B660" s="97" t="s">
        <v>104</v>
      </c>
      <c r="C660" s="86" t="s">
        <v>227</v>
      </c>
      <c r="D660" s="86" t="s">
        <v>844</v>
      </c>
      <c r="E660" s="86" t="s">
        <v>303</v>
      </c>
      <c r="F660" s="87" t="s">
        <v>304</v>
      </c>
      <c r="G660" s="96">
        <v>53</v>
      </c>
      <c r="H660" s="97" t="s">
        <v>105</v>
      </c>
      <c r="I660" s="86" t="s">
        <v>227</v>
      </c>
      <c r="J660" s="86" t="s">
        <v>844</v>
      </c>
      <c r="K660" s="86" t="s">
        <v>303</v>
      </c>
      <c r="L660" s="87" t="s">
        <v>304</v>
      </c>
    </row>
    <row r="661" spans="1:12" s="90" customFormat="1" ht="12.75" customHeight="1">
      <c r="A661" s="99" t="s">
        <v>23</v>
      </c>
      <c r="B661" s="100" t="s">
        <v>108</v>
      </c>
      <c r="C661" s="101"/>
      <c r="D661" s="101"/>
      <c r="E661" s="101"/>
      <c r="F661" s="102"/>
      <c r="G661" s="99" t="s">
        <v>23</v>
      </c>
      <c r="H661" s="100" t="s">
        <v>129</v>
      </c>
      <c r="I661" s="101">
        <f>SUM(I662:I666)</f>
        <v>2814086</v>
      </c>
      <c r="J661" s="101">
        <f>SUM(J662:J666)</f>
        <v>2814086</v>
      </c>
      <c r="K661" s="101">
        <f>SUM(K662:K666)</f>
        <v>1079500</v>
      </c>
      <c r="L661" s="102">
        <f>+K661/J661</f>
        <v>0.3836059025914631</v>
      </c>
    </row>
    <row r="662" spans="1:12" s="90" customFormat="1" ht="12.75" customHeight="1">
      <c r="A662" s="99" t="s">
        <v>111</v>
      </c>
      <c r="B662" s="116" t="s">
        <v>209</v>
      </c>
      <c r="C662" s="106"/>
      <c r="D662" s="106"/>
      <c r="E662" s="106"/>
      <c r="F662" s="599"/>
      <c r="G662" s="99" t="s">
        <v>111</v>
      </c>
      <c r="H662" s="116" t="s">
        <v>80</v>
      </c>
      <c r="I662" s="106">
        <v>276031</v>
      </c>
      <c r="J662" s="106">
        <v>276031</v>
      </c>
      <c r="K662" s="106">
        <v>0</v>
      </c>
      <c r="L662" s="599">
        <f>+K662/J662</f>
        <v>0</v>
      </c>
    </row>
    <row r="663" spans="1:12" s="90" customFormat="1" ht="12.75" customHeight="1">
      <c r="A663" s="99"/>
      <c r="B663" s="116" t="s">
        <v>210</v>
      </c>
      <c r="C663" s="106"/>
      <c r="D663" s="106"/>
      <c r="E663" s="106"/>
      <c r="F663" s="599"/>
      <c r="G663" s="99" t="s">
        <v>112</v>
      </c>
      <c r="H663" s="116" t="s">
        <v>147</v>
      </c>
      <c r="I663" s="106">
        <v>61975</v>
      </c>
      <c r="J663" s="106">
        <v>61975</v>
      </c>
      <c r="K663" s="106">
        <v>0</v>
      </c>
      <c r="L663" s="599">
        <f>+K663/J663</f>
        <v>0</v>
      </c>
    </row>
    <row r="664" spans="1:12" s="90" customFormat="1" ht="12.75" customHeight="1">
      <c r="A664" s="99" t="s">
        <v>112</v>
      </c>
      <c r="B664" s="116" t="s">
        <v>9</v>
      </c>
      <c r="C664" s="106"/>
      <c r="D664" s="106"/>
      <c r="E664" s="106"/>
      <c r="F664" s="599"/>
      <c r="G664" s="99" t="s">
        <v>113</v>
      </c>
      <c r="H664" s="116" t="s">
        <v>83</v>
      </c>
      <c r="I664" s="106">
        <f>1949669+526411</f>
        <v>2476080</v>
      </c>
      <c r="J664" s="106">
        <f>1949669+526411</f>
        <v>2476080</v>
      </c>
      <c r="K664" s="106">
        <v>1079500</v>
      </c>
      <c r="L664" s="599">
        <f>+K664/J664</f>
        <v>0.4359713741074602</v>
      </c>
    </row>
    <row r="665" spans="1:12" s="90" customFormat="1" ht="12.75" customHeight="1">
      <c r="A665" s="99" t="s">
        <v>113</v>
      </c>
      <c r="B665" s="116" t="s">
        <v>170</v>
      </c>
      <c r="C665" s="106"/>
      <c r="D665" s="106"/>
      <c r="E665" s="106"/>
      <c r="F665" s="599"/>
      <c r="G665" s="99" t="s">
        <v>114</v>
      </c>
      <c r="H665" s="116" t="s">
        <v>84</v>
      </c>
      <c r="I665" s="106"/>
      <c r="J665" s="106"/>
      <c r="K665" s="106"/>
      <c r="L665" s="599"/>
    </row>
    <row r="666" spans="1:12" s="90" customFormat="1" ht="12.75" customHeight="1">
      <c r="A666" s="99" t="s">
        <v>114</v>
      </c>
      <c r="B666" s="116" t="s">
        <v>181</v>
      </c>
      <c r="C666" s="106"/>
      <c r="D666" s="106"/>
      <c r="E666" s="106"/>
      <c r="F666" s="599"/>
      <c r="G666" s="99" t="s">
        <v>115</v>
      </c>
      <c r="H666" s="116" t="s">
        <v>211</v>
      </c>
      <c r="I666" s="106"/>
      <c r="J666" s="106"/>
      <c r="K666" s="106"/>
      <c r="L666" s="599"/>
    </row>
    <row r="667" spans="1:12" s="90" customFormat="1" ht="12.75" customHeight="1">
      <c r="A667" s="112" t="s">
        <v>45</v>
      </c>
      <c r="B667" s="100" t="s">
        <v>118</v>
      </c>
      <c r="C667" s="101"/>
      <c r="D667" s="101"/>
      <c r="E667" s="101"/>
      <c r="F667" s="102"/>
      <c r="G667" s="112" t="s">
        <v>45</v>
      </c>
      <c r="H667" s="100" t="s">
        <v>130</v>
      </c>
      <c r="I667" s="101"/>
      <c r="J667" s="101"/>
      <c r="K667" s="101"/>
      <c r="L667" s="102"/>
    </row>
    <row r="668" spans="1:12" s="90" customFormat="1" ht="12.75" customHeight="1">
      <c r="A668" s="112" t="s">
        <v>111</v>
      </c>
      <c r="B668" s="100" t="s">
        <v>106</v>
      </c>
      <c r="C668" s="106"/>
      <c r="D668" s="106"/>
      <c r="E668" s="106"/>
      <c r="F668" s="599"/>
      <c r="G668" s="112" t="s">
        <v>111</v>
      </c>
      <c r="H668" s="100" t="s">
        <v>131</v>
      </c>
      <c r="I668" s="106"/>
      <c r="J668" s="106"/>
      <c r="K668" s="106"/>
      <c r="L668" s="599"/>
    </row>
    <row r="669" spans="1:12" s="90" customFormat="1" ht="12.75" customHeight="1">
      <c r="A669" s="112" t="s">
        <v>112</v>
      </c>
      <c r="B669" s="100" t="s">
        <v>39</v>
      </c>
      <c r="C669" s="106"/>
      <c r="D669" s="106"/>
      <c r="E669" s="106"/>
      <c r="F669" s="599"/>
      <c r="G669" s="112" t="s">
        <v>112</v>
      </c>
      <c r="H669" s="100" t="s">
        <v>87</v>
      </c>
      <c r="I669" s="106"/>
      <c r="J669" s="106"/>
      <c r="K669" s="106"/>
      <c r="L669" s="599"/>
    </row>
    <row r="670" spans="1:12" s="90" customFormat="1" ht="12.75" customHeight="1">
      <c r="A670" s="112" t="s">
        <v>113</v>
      </c>
      <c r="B670" s="100" t="s">
        <v>201</v>
      </c>
      <c r="C670" s="106"/>
      <c r="D670" s="106"/>
      <c r="E670" s="106"/>
      <c r="F670" s="599"/>
      <c r="G670" s="112" t="s">
        <v>113</v>
      </c>
      <c r="H670" s="100" t="s">
        <v>90</v>
      </c>
      <c r="I670" s="106"/>
      <c r="J670" s="106"/>
      <c r="K670" s="106"/>
      <c r="L670" s="599"/>
    </row>
    <row r="671" spans="1:12" s="90" customFormat="1" ht="12.75" customHeight="1">
      <c r="A671" s="112" t="s">
        <v>56</v>
      </c>
      <c r="B671" s="100" t="s">
        <v>126</v>
      </c>
      <c r="C671" s="101">
        <v>2814086</v>
      </c>
      <c r="D671" s="101">
        <v>2814086</v>
      </c>
      <c r="E671" s="101">
        <v>2814086</v>
      </c>
      <c r="F671" s="102">
        <f>+E671/D671</f>
        <v>1</v>
      </c>
      <c r="G671" s="112" t="s">
        <v>56</v>
      </c>
      <c r="H671" s="100" t="s">
        <v>132</v>
      </c>
      <c r="I671" s="101"/>
      <c r="J671" s="101"/>
      <c r="K671" s="101"/>
      <c r="L671" s="102"/>
    </row>
    <row r="672" spans="1:12" s="90" customFormat="1" ht="12.75" customHeight="1">
      <c r="A672" s="99" t="s">
        <v>64</v>
      </c>
      <c r="B672" s="116" t="s">
        <v>127</v>
      </c>
      <c r="C672" s="101"/>
      <c r="D672" s="101"/>
      <c r="E672" s="101"/>
      <c r="F672" s="102"/>
      <c r="G672" s="99" t="s">
        <v>64</v>
      </c>
      <c r="H672" s="116" t="s">
        <v>133</v>
      </c>
      <c r="I672" s="101"/>
      <c r="J672" s="101"/>
      <c r="K672" s="101"/>
      <c r="L672" s="102"/>
    </row>
    <row r="673" spans="1:12" s="124" customFormat="1" ht="12.75" customHeight="1" thickBot="1">
      <c r="A673" s="117"/>
      <c r="B673" s="118" t="s">
        <v>148</v>
      </c>
      <c r="C673" s="88">
        <f>+C661+C667+C671+C672</f>
        <v>2814086</v>
      </c>
      <c r="D673" s="88">
        <f>+D661+D667+D671+D672</f>
        <v>2814086</v>
      </c>
      <c r="E673" s="88">
        <f>+E661+E667+E671+E672</f>
        <v>2814086</v>
      </c>
      <c r="F673" s="119">
        <f>+E673/D673</f>
        <v>1</v>
      </c>
      <c r="G673" s="117"/>
      <c r="H673" s="118" t="s">
        <v>149</v>
      </c>
      <c r="I673" s="88">
        <f>+I672+I671+I667+I661</f>
        <v>2814086</v>
      </c>
      <c r="J673" s="88">
        <f>+J672+J671+J667+J661</f>
        <v>2814086</v>
      </c>
      <c r="K673" s="88">
        <f>K661</f>
        <v>1079500</v>
      </c>
      <c r="L673" s="119">
        <f>+K673/J673</f>
        <v>0.3836059025914631</v>
      </c>
    </row>
    <row r="674" spans="1:12" s="126" customFormat="1" ht="12.75" customHeight="1">
      <c r="A674" s="90"/>
      <c r="B674" s="124"/>
      <c r="C674" s="93"/>
      <c r="D674" s="93"/>
      <c r="E674" s="93"/>
      <c r="F674" s="93"/>
      <c r="G674" s="124"/>
      <c r="H674" s="124"/>
      <c r="I674" s="93"/>
      <c r="J674" s="93"/>
      <c r="K674" s="93"/>
      <c r="L674" s="93"/>
    </row>
    <row r="675" spans="1:12" s="90" customFormat="1" ht="12.75" customHeight="1" thickBot="1">
      <c r="A675" s="90" t="s">
        <v>256</v>
      </c>
      <c r="B675" s="124"/>
      <c r="E675" s="93"/>
      <c r="F675" s="93"/>
      <c r="G675" s="124"/>
      <c r="H675" s="124"/>
      <c r="I675" s="595"/>
      <c r="J675" s="595"/>
      <c r="K675" s="93"/>
      <c r="L675" s="596" t="s">
        <v>216</v>
      </c>
    </row>
    <row r="676" spans="1:12" s="90" customFormat="1" ht="24.75" customHeight="1">
      <c r="A676" s="96"/>
      <c r="B676" s="97" t="s">
        <v>104</v>
      </c>
      <c r="C676" s="86" t="s">
        <v>227</v>
      </c>
      <c r="D676" s="86" t="s">
        <v>844</v>
      </c>
      <c r="E676" s="86" t="s">
        <v>303</v>
      </c>
      <c r="F676" s="87" t="s">
        <v>304</v>
      </c>
      <c r="G676" s="96">
        <v>54</v>
      </c>
      <c r="H676" s="97" t="s">
        <v>105</v>
      </c>
      <c r="I676" s="86" t="s">
        <v>227</v>
      </c>
      <c r="J676" s="86" t="s">
        <v>844</v>
      </c>
      <c r="K676" s="86" t="s">
        <v>303</v>
      </c>
      <c r="L676" s="87" t="s">
        <v>304</v>
      </c>
    </row>
    <row r="677" spans="1:12" s="90" customFormat="1" ht="12.75" customHeight="1">
      <c r="A677" s="99" t="s">
        <v>23</v>
      </c>
      <c r="B677" s="100" t="s">
        <v>108</v>
      </c>
      <c r="C677" s="101"/>
      <c r="D677" s="101"/>
      <c r="E677" s="101"/>
      <c r="F677" s="102"/>
      <c r="G677" s="99" t="s">
        <v>23</v>
      </c>
      <c r="H677" s="100" t="s">
        <v>129</v>
      </c>
      <c r="I677" s="101">
        <f>I678+I679+I680+I681+I682</f>
        <v>108423</v>
      </c>
      <c r="J677" s="101">
        <f>J678+J679+J680+J681+J682</f>
        <v>108423</v>
      </c>
      <c r="K677" s="101">
        <f>K678+K679+K680+K681+K682</f>
        <v>0</v>
      </c>
      <c r="L677" s="102">
        <f>+K677/J677</f>
        <v>0</v>
      </c>
    </row>
    <row r="678" spans="1:12" s="90" customFormat="1" ht="12.75" customHeight="1">
      <c r="A678" s="99" t="s">
        <v>111</v>
      </c>
      <c r="B678" s="116" t="s">
        <v>209</v>
      </c>
      <c r="C678" s="106"/>
      <c r="D678" s="106"/>
      <c r="E678" s="106"/>
      <c r="F678" s="599"/>
      <c r="G678" s="99" t="s">
        <v>111</v>
      </c>
      <c r="H678" s="116" t="s">
        <v>80</v>
      </c>
      <c r="I678" s="106">
        <v>92275</v>
      </c>
      <c r="J678" s="106">
        <v>92275</v>
      </c>
      <c r="K678" s="106">
        <v>0</v>
      </c>
      <c r="L678" s="599">
        <f>+K678/J678</f>
        <v>0</v>
      </c>
    </row>
    <row r="679" spans="1:12" s="90" customFormat="1" ht="12.75" customHeight="1">
      <c r="A679" s="99"/>
      <c r="B679" s="116" t="s">
        <v>210</v>
      </c>
      <c r="C679" s="106"/>
      <c r="D679" s="106"/>
      <c r="E679" s="106"/>
      <c r="F679" s="599"/>
      <c r="G679" s="99" t="s">
        <v>112</v>
      </c>
      <c r="H679" s="116" t="s">
        <v>147</v>
      </c>
      <c r="I679" s="106">
        <v>16148</v>
      </c>
      <c r="J679" s="106">
        <v>16148</v>
      </c>
      <c r="K679" s="106">
        <v>0</v>
      </c>
      <c r="L679" s="599">
        <f>+K679/J679+IF(L679=0/0,0%)</f>
        <v>0</v>
      </c>
    </row>
    <row r="680" spans="1:12" s="90" customFormat="1" ht="12.75" customHeight="1">
      <c r="A680" s="99" t="s">
        <v>112</v>
      </c>
      <c r="B680" s="116" t="s">
        <v>9</v>
      </c>
      <c r="C680" s="106"/>
      <c r="D680" s="106"/>
      <c r="E680" s="106"/>
      <c r="F680" s="599"/>
      <c r="G680" s="99" t="s">
        <v>113</v>
      </c>
      <c r="H680" s="116" t="s">
        <v>83</v>
      </c>
      <c r="I680" s="106"/>
      <c r="J680" s="106"/>
      <c r="K680" s="106"/>
      <c r="L680" s="599"/>
    </row>
    <row r="681" spans="1:12" s="90" customFormat="1" ht="12.75" customHeight="1">
      <c r="A681" s="99" t="s">
        <v>113</v>
      </c>
      <c r="B681" s="116" t="s">
        <v>170</v>
      </c>
      <c r="C681" s="106"/>
      <c r="D681" s="106"/>
      <c r="E681" s="106"/>
      <c r="F681" s="599"/>
      <c r="G681" s="99" t="s">
        <v>114</v>
      </c>
      <c r="H681" s="116" t="s">
        <v>84</v>
      </c>
      <c r="I681" s="106"/>
      <c r="J681" s="106"/>
      <c r="K681" s="106"/>
      <c r="L681" s="599"/>
    </row>
    <row r="682" spans="1:12" s="90" customFormat="1" ht="12.75" customHeight="1">
      <c r="A682" s="99" t="s">
        <v>114</v>
      </c>
      <c r="B682" s="116" t="s">
        <v>181</v>
      </c>
      <c r="C682" s="106"/>
      <c r="D682" s="106"/>
      <c r="E682" s="106"/>
      <c r="F682" s="599"/>
      <c r="G682" s="99" t="s">
        <v>115</v>
      </c>
      <c r="H682" s="116" t="s">
        <v>211</v>
      </c>
      <c r="I682" s="106"/>
      <c r="J682" s="106"/>
      <c r="K682" s="106"/>
      <c r="L682" s="599"/>
    </row>
    <row r="683" spans="1:12" s="90" customFormat="1" ht="12.75" customHeight="1">
      <c r="A683" s="112" t="s">
        <v>45</v>
      </c>
      <c r="B683" s="100" t="s">
        <v>118</v>
      </c>
      <c r="C683" s="101"/>
      <c r="D683" s="101"/>
      <c r="E683" s="101"/>
      <c r="F683" s="102"/>
      <c r="G683" s="112" t="s">
        <v>45</v>
      </c>
      <c r="H683" s="100" t="s">
        <v>130</v>
      </c>
      <c r="I683" s="101"/>
      <c r="J683" s="101"/>
      <c r="K683" s="101"/>
      <c r="L683" s="102"/>
    </row>
    <row r="684" spans="1:12" s="90" customFormat="1" ht="12.75" customHeight="1">
      <c r="A684" s="112" t="s">
        <v>111</v>
      </c>
      <c r="B684" s="100" t="s">
        <v>106</v>
      </c>
      <c r="C684" s="106"/>
      <c r="D684" s="106"/>
      <c r="E684" s="106"/>
      <c r="F684" s="599"/>
      <c r="G684" s="112" t="s">
        <v>111</v>
      </c>
      <c r="H684" s="100" t="s">
        <v>131</v>
      </c>
      <c r="I684" s="106"/>
      <c r="J684" s="106"/>
      <c r="K684" s="106"/>
      <c r="L684" s="599"/>
    </row>
    <row r="685" spans="1:12" s="90" customFormat="1" ht="12.75" customHeight="1">
      <c r="A685" s="112" t="s">
        <v>112</v>
      </c>
      <c r="B685" s="100" t="s">
        <v>39</v>
      </c>
      <c r="C685" s="106"/>
      <c r="D685" s="106"/>
      <c r="E685" s="106"/>
      <c r="F685" s="599"/>
      <c r="G685" s="112" t="s">
        <v>112</v>
      </c>
      <c r="H685" s="100" t="s">
        <v>87</v>
      </c>
      <c r="I685" s="106"/>
      <c r="J685" s="106"/>
      <c r="K685" s="106"/>
      <c r="L685" s="599"/>
    </row>
    <row r="686" spans="1:12" s="90" customFormat="1" ht="12.75" customHeight="1">
      <c r="A686" s="112" t="s">
        <v>113</v>
      </c>
      <c r="B686" s="100" t="s">
        <v>201</v>
      </c>
      <c r="C686" s="106"/>
      <c r="D686" s="106"/>
      <c r="E686" s="106"/>
      <c r="F686" s="599"/>
      <c r="G686" s="112" t="s">
        <v>113</v>
      </c>
      <c r="H686" s="100" t="s">
        <v>90</v>
      </c>
      <c r="I686" s="106"/>
      <c r="J686" s="106"/>
      <c r="K686" s="106"/>
      <c r="L686" s="599"/>
    </row>
    <row r="687" spans="1:12" s="90" customFormat="1" ht="12.75" customHeight="1">
      <c r="A687" s="112" t="s">
        <v>56</v>
      </c>
      <c r="B687" s="100" t="s">
        <v>126</v>
      </c>
      <c r="C687" s="101">
        <v>108423</v>
      </c>
      <c r="D687" s="101">
        <v>108423</v>
      </c>
      <c r="E687" s="101">
        <v>108423</v>
      </c>
      <c r="F687" s="102">
        <v>1</v>
      </c>
      <c r="G687" s="112" t="s">
        <v>56</v>
      </c>
      <c r="H687" s="100" t="s">
        <v>132</v>
      </c>
      <c r="I687" s="101"/>
      <c r="J687" s="101"/>
      <c r="K687" s="101"/>
      <c r="L687" s="102"/>
    </row>
    <row r="688" spans="1:12" s="90" customFormat="1" ht="12.75" customHeight="1">
      <c r="A688" s="99" t="s">
        <v>64</v>
      </c>
      <c r="B688" s="116" t="s">
        <v>127</v>
      </c>
      <c r="C688" s="101"/>
      <c r="D688" s="101"/>
      <c r="E688" s="101"/>
      <c r="F688" s="102"/>
      <c r="G688" s="99" t="s">
        <v>64</v>
      </c>
      <c r="H688" s="116" t="s">
        <v>133</v>
      </c>
      <c r="I688" s="101"/>
      <c r="J688" s="101"/>
      <c r="K688" s="101"/>
      <c r="L688" s="102"/>
    </row>
    <row r="689" spans="1:12" s="124" customFormat="1" ht="12.75" customHeight="1" thickBot="1">
      <c r="A689" s="117"/>
      <c r="B689" s="118" t="s">
        <v>148</v>
      </c>
      <c r="C689" s="88">
        <f>+C677+C683+C687+C688</f>
        <v>108423</v>
      </c>
      <c r="D689" s="88">
        <f>+D677+D683+D687+D688</f>
        <v>108423</v>
      </c>
      <c r="E689" s="88">
        <f>+E677+E683+E687+E688</f>
        <v>108423</v>
      </c>
      <c r="F689" s="119">
        <f>+E689/D689</f>
        <v>1</v>
      </c>
      <c r="G689" s="117"/>
      <c r="H689" s="118" t="s">
        <v>149</v>
      </c>
      <c r="I689" s="88">
        <f>I677+I683+I687+I688</f>
        <v>108423</v>
      </c>
      <c r="J689" s="88">
        <f>J677+J683+J687+J688</f>
        <v>108423</v>
      </c>
      <c r="K689" s="88">
        <f>K677+K683+K687+K688</f>
        <v>0</v>
      </c>
      <c r="L689" s="119">
        <f>+K689/J689</f>
        <v>0</v>
      </c>
    </row>
    <row r="690" spans="1:12" s="126" customFormat="1" ht="12.75" customHeight="1">
      <c r="A690" s="124"/>
      <c r="B690" s="124"/>
      <c r="C690" s="93"/>
      <c r="D690" s="93"/>
      <c r="E690" s="93"/>
      <c r="F690" s="93"/>
      <c r="G690" s="124"/>
      <c r="H690" s="124"/>
      <c r="I690" s="93"/>
      <c r="J690" s="93"/>
      <c r="K690" s="93"/>
      <c r="L690" s="93"/>
    </row>
    <row r="691" spans="1:12" s="90" customFormat="1" ht="12.75" customHeight="1" thickBot="1">
      <c r="A691" s="90" t="s">
        <v>807</v>
      </c>
      <c r="B691" s="124"/>
      <c r="C691" s="93"/>
      <c r="D691" s="93"/>
      <c r="E691" s="93"/>
      <c r="F691" s="93"/>
      <c r="G691" s="124"/>
      <c r="H691" s="124"/>
      <c r="I691" s="595"/>
      <c r="J691" s="595"/>
      <c r="K691" s="93"/>
      <c r="L691" s="596" t="s">
        <v>216</v>
      </c>
    </row>
    <row r="692" spans="1:12" s="90" customFormat="1" ht="24.75" customHeight="1">
      <c r="A692" s="96"/>
      <c r="B692" s="97" t="s">
        <v>104</v>
      </c>
      <c r="C692" s="86" t="s">
        <v>788</v>
      </c>
      <c r="D692" s="86" t="s">
        <v>789</v>
      </c>
      <c r="E692" s="86" t="s">
        <v>303</v>
      </c>
      <c r="F692" s="87" t="s">
        <v>304</v>
      </c>
      <c r="G692" s="96">
        <v>56</v>
      </c>
      <c r="H692" s="97" t="s">
        <v>105</v>
      </c>
      <c r="I692" s="86" t="s">
        <v>788</v>
      </c>
      <c r="J692" s="86" t="s">
        <v>789</v>
      </c>
      <c r="K692" s="86" t="s">
        <v>303</v>
      </c>
      <c r="L692" s="87" t="s">
        <v>304</v>
      </c>
    </row>
    <row r="693" spans="1:12" s="90" customFormat="1" ht="12.75" customHeight="1">
      <c r="A693" s="99" t="s">
        <v>23</v>
      </c>
      <c r="B693" s="100" t="s">
        <v>108</v>
      </c>
      <c r="C693" s="101"/>
      <c r="D693" s="101"/>
      <c r="E693" s="101"/>
      <c r="F693" s="102"/>
      <c r="G693" s="99" t="s">
        <v>23</v>
      </c>
      <c r="H693" s="100" t="s">
        <v>129</v>
      </c>
      <c r="I693" s="101">
        <f>SUM(I694:I698)</f>
        <v>110130</v>
      </c>
      <c r="J693" s="101">
        <f>SUM(J694:J698)</f>
        <v>110130</v>
      </c>
      <c r="K693" s="101">
        <f>SUM(K694:K698)</f>
        <v>110130</v>
      </c>
      <c r="L693" s="102">
        <f>+K693/J693</f>
        <v>1</v>
      </c>
    </row>
    <row r="694" spans="1:12" s="90" customFormat="1" ht="12.75" customHeight="1">
      <c r="A694" s="99" t="s">
        <v>111</v>
      </c>
      <c r="B694" s="116" t="s">
        <v>209</v>
      </c>
      <c r="C694" s="106"/>
      <c r="D694" s="106"/>
      <c r="E694" s="106"/>
      <c r="F694" s="599"/>
      <c r="G694" s="99" t="s">
        <v>111</v>
      </c>
      <c r="H694" s="116" t="s">
        <v>80</v>
      </c>
      <c r="I694" s="106">
        <v>93728</v>
      </c>
      <c r="J694" s="106">
        <v>93728</v>
      </c>
      <c r="K694" s="106">
        <v>93728</v>
      </c>
      <c r="L694" s="599">
        <f>+K694/J694</f>
        <v>1</v>
      </c>
    </row>
    <row r="695" spans="1:12" s="90" customFormat="1" ht="12.75" customHeight="1">
      <c r="A695" s="99"/>
      <c r="B695" s="116" t="s">
        <v>210</v>
      </c>
      <c r="C695" s="106"/>
      <c r="D695" s="106"/>
      <c r="E695" s="106"/>
      <c r="F695" s="599"/>
      <c r="G695" s="99" t="s">
        <v>112</v>
      </c>
      <c r="H695" s="116" t="s">
        <v>147</v>
      </c>
      <c r="I695" s="106">
        <v>16402</v>
      </c>
      <c r="J695" s="106">
        <v>16402</v>
      </c>
      <c r="K695" s="106">
        <v>16402</v>
      </c>
      <c r="L695" s="599">
        <f>+K695/J695</f>
        <v>1</v>
      </c>
    </row>
    <row r="696" spans="1:12" s="90" customFormat="1" ht="12.75" customHeight="1">
      <c r="A696" s="99" t="s">
        <v>112</v>
      </c>
      <c r="B696" s="116" t="s">
        <v>9</v>
      </c>
      <c r="C696" s="106"/>
      <c r="D696" s="106"/>
      <c r="E696" s="106"/>
      <c r="F696" s="599"/>
      <c r="G696" s="99" t="s">
        <v>113</v>
      </c>
      <c r="H696" s="116" t="s">
        <v>83</v>
      </c>
      <c r="I696" s="106"/>
      <c r="J696" s="106"/>
      <c r="K696" s="106"/>
      <c r="L696" s="599"/>
    </row>
    <row r="697" spans="1:12" s="90" customFormat="1" ht="12.75" customHeight="1">
      <c r="A697" s="99" t="s">
        <v>113</v>
      </c>
      <c r="B697" s="116" t="s">
        <v>170</v>
      </c>
      <c r="C697" s="106"/>
      <c r="D697" s="106"/>
      <c r="E697" s="106"/>
      <c r="F697" s="599"/>
      <c r="G697" s="99" t="s">
        <v>114</v>
      </c>
      <c r="H697" s="116" t="s">
        <v>84</v>
      </c>
      <c r="I697" s="106"/>
      <c r="J697" s="106"/>
      <c r="K697" s="106"/>
      <c r="L697" s="599"/>
    </row>
    <row r="698" spans="1:12" s="90" customFormat="1" ht="12.75" customHeight="1">
      <c r="A698" s="99" t="s">
        <v>114</v>
      </c>
      <c r="B698" s="116" t="s">
        <v>181</v>
      </c>
      <c r="C698" s="106"/>
      <c r="D698" s="106"/>
      <c r="E698" s="106"/>
      <c r="F698" s="599"/>
      <c r="G698" s="99" t="s">
        <v>115</v>
      </c>
      <c r="H698" s="116" t="s">
        <v>211</v>
      </c>
      <c r="I698" s="106"/>
      <c r="J698" s="106"/>
      <c r="K698" s="106"/>
      <c r="L698" s="599"/>
    </row>
    <row r="699" spans="1:12" s="90" customFormat="1" ht="12.75" customHeight="1">
      <c r="A699" s="112" t="s">
        <v>45</v>
      </c>
      <c r="B699" s="100" t="s">
        <v>118</v>
      </c>
      <c r="C699" s="101"/>
      <c r="D699" s="101"/>
      <c r="E699" s="101"/>
      <c r="F699" s="102"/>
      <c r="G699" s="112" t="s">
        <v>45</v>
      </c>
      <c r="H699" s="100" t="s">
        <v>130</v>
      </c>
      <c r="I699" s="101"/>
      <c r="J699" s="101"/>
      <c r="K699" s="101"/>
      <c r="L699" s="102"/>
    </row>
    <row r="700" spans="1:12" s="90" customFormat="1" ht="12.75" customHeight="1">
      <c r="A700" s="112" t="s">
        <v>111</v>
      </c>
      <c r="B700" s="100" t="s">
        <v>106</v>
      </c>
      <c r="C700" s="106"/>
      <c r="D700" s="106"/>
      <c r="E700" s="106"/>
      <c r="F700" s="599"/>
      <c r="G700" s="112" t="s">
        <v>111</v>
      </c>
      <c r="H700" s="100" t="s">
        <v>131</v>
      </c>
      <c r="I700" s="106"/>
      <c r="J700" s="106"/>
      <c r="K700" s="106"/>
      <c r="L700" s="599"/>
    </row>
    <row r="701" spans="1:12" s="90" customFormat="1" ht="12.75" customHeight="1">
      <c r="A701" s="112" t="s">
        <v>112</v>
      </c>
      <c r="B701" s="100" t="s">
        <v>39</v>
      </c>
      <c r="C701" s="106"/>
      <c r="D701" s="106"/>
      <c r="E701" s="106"/>
      <c r="F701" s="599"/>
      <c r="G701" s="112" t="s">
        <v>112</v>
      </c>
      <c r="H701" s="100" t="s">
        <v>87</v>
      </c>
      <c r="I701" s="106"/>
      <c r="J701" s="106"/>
      <c r="K701" s="106"/>
      <c r="L701" s="599"/>
    </row>
    <row r="702" spans="1:12" s="90" customFormat="1" ht="12.75" customHeight="1">
      <c r="A702" s="112" t="s">
        <v>113</v>
      </c>
      <c r="B702" s="100" t="s">
        <v>201</v>
      </c>
      <c r="C702" s="106"/>
      <c r="D702" s="106"/>
      <c r="E702" s="106"/>
      <c r="F702" s="599"/>
      <c r="G702" s="112" t="s">
        <v>113</v>
      </c>
      <c r="H702" s="100" t="s">
        <v>90</v>
      </c>
      <c r="I702" s="106"/>
      <c r="J702" s="106"/>
      <c r="K702" s="106"/>
      <c r="L702" s="599"/>
    </row>
    <row r="703" spans="1:12" s="90" customFormat="1" ht="12.75" customHeight="1">
      <c r="A703" s="112" t="s">
        <v>56</v>
      </c>
      <c r="B703" s="100" t="s">
        <v>126</v>
      </c>
      <c r="C703" s="101">
        <v>110130</v>
      </c>
      <c r="D703" s="101">
        <v>110130</v>
      </c>
      <c r="E703" s="101">
        <v>110130</v>
      </c>
      <c r="F703" s="102">
        <f>+E703/D703</f>
        <v>1</v>
      </c>
      <c r="G703" s="112" t="s">
        <v>56</v>
      </c>
      <c r="H703" s="100" t="s">
        <v>132</v>
      </c>
      <c r="I703" s="101"/>
      <c r="J703" s="101"/>
      <c r="K703" s="101"/>
      <c r="L703" s="102"/>
    </row>
    <row r="704" spans="1:12" s="90" customFormat="1" ht="12.75" customHeight="1">
      <c r="A704" s="99" t="s">
        <v>64</v>
      </c>
      <c r="B704" s="116" t="s">
        <v>127</v>
      </c>
      <c r="C704" s="101"/>
      <c r="D704" s="101"/>
      <c r="E704" s="101"/>
      <c r="F704" s="102"/>
      <c r="G704" s="99" t="s">
        <v>64</v>
      </c>
      <c r="H704" s="116" t="s">
        <v>133</v>
      </c>
      <c r="I704" s="101"/>
      <c r="J704" s="101"/>
      <c r="K704" s="101"/>
      <c r="L704" s="102"/>
    </row>
    <row r="705" spans="1:12" s="124" customFormat="1" ht="12.75" customHeight="1" thickBot="1">
      <c r="A705" s="117"/>
      <c r="B705" s="118" t="s">
        <v>148</v>
      </c>
      <c r="C705" s="88">
        <f>+C693+C699+C703+C704</f>
        <v>110130</v>
      </c>
      <c r="D705" s="88">
        <f>+D693+D699+D703+D704</f>
        <v>110130</v>
      </c>
      <c r="E705" s="88">
        <f>+E693+E699+E703+E704</f>
        <v>110130</v>
      </c>
      <c r="F705" s="119">
        <f>+E705/D705</f>
        <v>1</v>
      </c>
      <c r="G705" s="117"/>
      <c r="H705" s="118" t="s">
        <v>149</v>
      </c>
      <c r="I705" s="88">
        <f>I693+I699+I703+I704</f>
        <v>110130</v>
      </c>
      <c r="J705" s="88">
        <f>J693+J699+J703+J704</f>
        <v>110130</v>
      </c>
      <c r="K705" s="88">
        <f>K693+K699+K703+K704</f>
        <v>110130</v>
      </c>
      <c r="L705" s="119">
        <f>+K705/J705</f>
        <v>1</v>
      </c>
    </row>
    <row r="706" spans="1:12" s="126" customFormat="1" ht="15">
      <c r="A706" s="124"/>
      <c r="B706" s="124"/>
      <c r="C706" s="93"/>
      <c r="D706" s="93"/>
      <c r="E706" s="595"/>
      <c r="F706" s="595"/>
      <c r="G706" s="124"/>
      <c r="H706" s="124"/>
      <c r="I706" s="93"/>
      <c r="J706" s="93"/>
      <c r="K706" s="595"/>
      <c r="L706" s="595"/>
    </row>
    <row r="707" spans="1:12" s="90" customFormat="1" ht="12.75" customHeight="1" thickBot="1">
      <c r="A707" s="90" t="s">
        <v>808</v>
      </c>
      <c r="B707" s="124"/>
      <c r="C707" s="93"/>
      <c r="D707" s="93"/>
      <c r="E707" s="93"/>
      <c r="F707" s="93"/>
      <c r="G707" s="124"/>
      <c r="H707" s="124"/>
      <c r="I707" s="595"/>
      <c r="J707" s="595"/>
      <c r="K707" s="93"/>
      <c r="L707" s="596" t="s">
        <v>216</v>
      </c>
    </row>
    <row r="708" spans="1:12" s="90" customFormat="1" ht="24.75" customHeight="1">
      <c r="A708" s="96"/>
      <c r="B708" s="97" t="s">
        <v>104</v>
      </c>
      <c r="C708" s="86" t="s">
        <v>227</v>
      </c>
      <c r="D708" s="86" t="s">
        <v>844</v>
      </c>
      <c r="E708" s="86" t="s">
        <v>303</v>
      </c>
      <c r="F708" s="87" t="s">
        <v>304</v>
      </c>
      <c r="G708" s="96">
        <v>57</v>
      </c>
      <c r="H708" s="97" t="s">
        <v>105</v>
      </c>
      <c r="I708" s="86" t="s">
        <v>227</v>
      </c>
      <c r="J708" s="86" t="s">
        <v>844</v>
      </c>
      <c r="K708" s="86" t="s">
        <v>303</v>
      </c>
      <c r="L708" s="87" t="s">
        <v>304</v>
      </c>
    </row>
    <row r="709" spans="1:12" s="90" customFormat="1" ht="12.75" customHeight="1">
      <c r="A709" s="99" t="s">
        <v>23</v>
      </c>
      <c r="B709" s="100" t="s">
        <v>108</v>
      </c>
      <c r="C709" s="101"/>
      <c r="D709" s="101"/>
      <c r="E709" s="101"/>
      <c r="F709" s="102"/>
      <c r="G709" s="99" t="s">
        <v>23</v>
      </c>
      <c r="H709" s="100" t="s">
        <v>129</v>
      </c>
      <c r="I709" s="101">
        <f>SUM(I710:I714)</f>
        <v>389873</v>
      </c>
      <c r="J709" s="101">
        <f>SUM(J710:J714)</f>
        <v>389873</v>
      </c>
      <c r="K709" s="101">
        <f>SUM(K710:K714)</f>
        <v>187179</v>
      </c>
      <c r="L709" s="102">
        <f>+K709/J709</f>
        <v>0.4801024949150108</v>
      </c>
    </row>
    <row r="710" spans="1:12" s="90" customFormat="1" ht="12.75" customHeight="1">
      <c r="A710" s="99" t="s">
        <v>111</v>
      </c>
      <c r="B710" s="116" t="s">
        <v>209</v>
      </c>
      <c r="C710" s="106"/>
      <c r="D710" s="106"/>
      <c r="E710" s="106"/>
      <c r="F710" s="599"/>
      <c r="G710" s="99" t="s">
        <v>111</v>
      </c>
      <c r="H710" s="116" t="s">
        <v>80</v>
      </c>
      <c r="I710" s="106">
        <v>159301</v>
      </c>
      <c r="J710" s="106">
        <v>159301</v>
      </c>
      <c r="K710" s="106">
        <v>159301</v>
      </c>
      <c r="L710" s="599">
        <f>+K710/J710</f>
        <v>1</v>
      </c>
    </row>
    <row r="711" spans="1:12" s="90" customFormat="1" ht="12.75" customHeight="1">
      <c r="A711" s="99"/>
      <c r="B711" s="116" t="s">
        <v>210</v>
      </c>
      <c r="C711" s="106"/>
      <c r="D711" s="106"/>
      <c r="E711" s="106"/>
      <c r="F711" s="599"/>
      <c r="G711" s="99" t="s">
        <v>112</v>
      </c>
      <c r="H711" s="116" t="s">
        <v>147</v>
      </c>
      <c r="I711" s="106">
        <v>27878</v>
      </c>
      <c r="J711" s="106">
        <v>27878</v>
      </c>
      <c r="K711" s="106">
        <v>27878</v>
      </c>
      <c r="L711" s="599">
        <f>+K711/J711</f>
        <v>1</v>
      </c>
    </row>
    <row r="712" spans="1:12" s="90" customFormat="1" ht="12.75" customHeight="1">
      <c r="A712" s="99" t="s">
        <v>112</v>
      </c>
      <c r="B712" s="116" t="s">
        <v>9</v>
      </c>
      <c r="C712" s="106"/>
      <c r="D712" s="106"/>
      <c r="E712" s="106"/>
      <c r="F712" s="599"/>
      <c r="G712" s="99" t="s">
        <v>113</v>
      </c>
      <c r="H712" s="116" t="s">
        <v>83</v>
      </c>
      <c r="I712" s="106"/>
      <c r="J712" s="106"/>
      <c r="K712" s="106"/>
      <c r="L712" s="599"/>
    </row>
    <row r="713" spans="1:12" s="90" customFormat="1" ht="12.75" customHeight="1">
      <c r="A713" s="99" t="s">
        <v>113</v>
      </c>
      <c r="B713" s="116" t="s">
        <v>170</v>
      </c>
      <c r="C713" s="106"/>
      <c r="D713" s="106"/>
      <c r="E713" s="106"/>
      <c r="F713" s="599"/>
      <c r="G713" s="99" t="s">
        <v>114</v>
      </c>
      <c r="H713" s="116" t="s">
        <v>84</v>
      </c>
      <c r="I713" s="106"/>
      <c r="J713" s="106"/>
      <c r="K713" s="106"/>
      <c r="L713" s="599"/>
    </row>
    <row r="714" spans="1:12" s="90" customFormat="1" ht="12.75" customHeight="1">
      <c r="A714" s="99" t="s">
        <v>114</v>
      </c>
      <c r="B714" s="116" t="s">
        <v>181</v>
      </c>
      <c r="C714" s="106"/>
      <c r="D714" s="106"/>
      <c r="E714" s="106"/>
      <c r="F714" s="599"/>
      <c r="G714" s="99" t="s">
        <v>115</v>
      </c>
      <c r="H714" s="116" t="s">
        <v>211</v>
      </c>
      <c r="I714" s="106">
        <v>202694</v>
      </c>
      <c r="J714" s="106">
        <v>202694</v>
      </c>
      <c r="K714" s="106">
        <v>0</v>
      </c>
      <c r="L714" s="599">
        <f>+K714/J714</f>
        <v>0</v>
      </c>
    </row>
    <row r="715" spans="1:12" s="90" customFormat="1" ht="12.75" customHeight="1">
      <c r="A715" s="112" t="s">
        <v>45</v>
      </c>
      <c r="B715" s="100" t="s">
        <v>118</v>
      </c>
      <c r="C715" s="101"/>
      <c r="D715" s="101"/>
      <c r="E715" s="101"/>
      <c r="F715" s="102"/>
      <c r="G715" s="112" t="s">
        <v>45</v>
      </c>
      <c r="H715" s="100" t="s">
        <v>130</v>
      </c>
      <c r="I715" s="101"/>
      <c r="J715" s="101"/>
      <c r="K715" s="101"/>
      <c r="L715" s="102"/>
    </row>
    <row r="716" spans="1:12" s="90" customFormat="1" ht="12.75" customHeight="1">
      <c r="A716" s="112" t="s">
        <v>111</v>
      </c>
      <c r="B716" s="100" t="s">
        <v>106</v>
      </c>
      <c r="C716" s="106"/>
      <c r="D716" s="106"/>
      <c r="E716" s="106"/>
      <c r="F716" s="599"/>
      <c r="G716" s="112" t="s">
        <v>111</v>
      </c>
      <c r="H716" s="100" t="s">
        <v>131</v>
      </c>
      <c r="I716" s="106"/>
      <c r="J716" s="106"/>
      <c r="K716" s="106"/>
      <c r="L716" s="599"/>
    </row>
    <row r="717" spans="1:12" s="90" customFormat="1" ht="12.75" customHeight="1">
      <c r="A717" s="112" t="s">
        <v>112</v>
      </c>
      <c r="B717" s="100" t="s">
        <v>39</v>
      </c>
      <c r="C717" s="106"/>
      <c r="D717" s="106"/>
      <c r="E717" s="106"/>
      <c r="F717" s="599"/>
      <c r="G717" s="112" t="s">
        <v>112</v>
      </c>
      <c r="H717" s="100" t="s">
        <v>87</v>
      </c>
      <c r="I717" s="106"/>
      <c r="J717" s="106"/>
      <c r="K717" s="106"/>
      <c r="L717" s="599"/>
    </row>
    <row r="718" spans="1:12" s="90" customFormat="1" ht="12.75" customHeight="1">
      <c r="A718" s="112" t="s">
        <v>113</v>
      </c>
      <c r="B718" s="100" t="s">
        <v>201</v>
      </c>
      <c r="C718" s="106"/>
      <c r="D718" s="106"/>
      <c r="E718" s="106"/>
      <c r="F718" s="599"/>
      <c r="G718" s="112" t="s">
        <v>113</v>
      </c>
      <c r="H718" s="100" t="s">
        <v>90</v>
      </c>
      <c r="I718" s="106"/>
      <c r="J718" s="106"/>
      <c r="K718" s="106"/>
      <c r="L718" s="599"/>
    </row>
    <row r="719" spans="1:12" s="90" customFormat="1" ht="12.75" customHeight="1">
      <c r="A719" s="112" t="s">
        <v>56</v>
      </c>
      <c r="B719" s="100" t="s">
        <v>126</v>
      </c>
      <c r="C719" s="101">
        <v>389873</v>
      </c>
      <c r="D719" s="101">
        <v>389873</v>
      </c>
      <c r="E719" s="101">
        <v>389873</v>
      </c>
      <c r="F719" s="102">
        <f>+E719/D719</f>
        <v>1</v>
      </c>
      <c r="G719" s="112" t="s">
        <v>56</v>
      </c>
      <c r="H719" s="100" t="s">
        <v>132</v>
      </c>
      <c r="I719" s="101"/>
      <c r="J719" s="101"/>
      <c r="K719" s="101"/>
      <c r="L719" s="102"/>
    </row>
    <row r="720" spans="1:12" s="90" customFormat="1" ht="12.75" customHeight="1">
      <c r="A720" s="99" t="s">
        <v>64</v>
      </c>
      <c r="B720" s="116" t="s">
        <v>127</v>
      </c>
      <c r="C720" s="101"/>
      <c r="D720" s="101"/>
      <c r="E720" s="101"/>
      <c r="F720" s="102"/>
      <c r="G720" s="99" t="s">
        <v>64</v>
      </c>
      <c r="H720" s="116" t="s">
        <v>133</v>
      </c>
      <c r="I720" s="101"/>
      <c r="J720" s="101"/>
      <c r="K720" s="101"/>
      <c r="L720" s="102"/>
    </row>
    <row r="721" spans="1:12" s="124" customFormat="1" ht="12.75" customHeight="1" thickBot="1">
      <c r="A721" s="117"/>
      <c r="B721" s="118" t="s">
        <v>148</v>
      </c>
      <c r="C721" s="88">
        <f>+C709+C715+C719+C720</f>
        <v>389873</v>
      </c>
      <c r="D721" s="88">
        <f>+D709+D715+D719+D720</f>
        <v>389873</v>
      </c>
      <c r="E721" s="88">
        <f>+E709+E715+E719+E720</f>
        <v>389873</v>
      </c>
      <c r="F721" s="119">
        <f>+E721/D721</f>
        <v>1</v>
      </c>
      <c r="G721" s="117"/>
      <c r="H721" s="118" t="s">
        <v>149</v>
      </c>
      <c r="I721" s="88">
        <f>I709+I715+I719+I720</f>
        <v>389873</v>
      </c>
      <c r="J721" s="88">
        <f>J709+J715+J719+J720</f>
        <v>389873</v>
      </c>
      <c r="K721" s="88">
        <f>K709+K715+K719+K720</f>
        <v>187179</v>
      </c>
      <c r="L721" s="119">
        <f>+K721/J721</f>
        <v>0.4801024949150108</v>
      </c>
    </row>
    <row r="722" spans="1:12" s="126" customFormat="1" ht="12.75" customHeight="1">
      <c r="A722" s="124"/>
      <c r="B722" s="124"/>
      <c r="C722" s="93"/>
      <c r="D722" s="93"/>
      <c r="E722" s="93"/>
      <c r="F722" s="93"/>
      <c r="G722" s="124"/>
      <c r="H722" s="124"/>
      <c r="I722" s="93"/>
      <c r="J722" s="93"/>
      <c r="K722" s="93"/>
      <c r="L722" s="93"/>
    </row>
    <row r="723" spans="1:12" s="90" customFormat="1" ht="12.75" customHeight="1" thickBot="1">
      <c r="A723" s="90" t="s">
        <v>809</v>
      </c>
      <c r="B723" s="124"/>
      <c r="C723" s="93"/>
      <c r="D723" s="93"/>
      <c r="E723" s="93"/>
      <c r="F723" s="93"/>
      <c r="G723" s="124"/>
      <c r="H723" s="124"/>
      <c r="I723" s="595"/>
      <c r="J723" s="595"/>
      <c r="K723" s="93"/>
      <c r="L723" s="596" t="s">
        <v>216</v>
      </c>
    </row>
    <row r="724" spans="1:12" s="90" customFormat="1" ht="24.75" customHeight="1">
      <c r="A724" s="96"/>
      <c r="B724" s="97" t="s">
        <v>104</v>
      </c>
      <c r="C724" s="86" t="s">
        <v>227</v>
      </c>
      <c r="D724" s="86" t="s">
        <v>844</v>
      </c>
      <c r="E724" s="86" t="s">
        <v>303</v>
      </c>
      <c r="F724" s="87" t="s">
        <v>304</v>
      </c>
      <c r="G724" s="96">
        <v>119</v>
      </c>
      <c r="H724" s="97" t="s">
        <v>105</v>
      </c>
      <c r="I724" s="86" t="s">
        <v>227</v>
      </c>
      <c r="J724" s="86" t="s">
        <v>844</v>
      </c>
      <c r="K724" s="86" t="s">
        <v>303</v>
      </c>
      <c r="L724" s="87" t="s">
        <v>304</v>
      </c>
    </row>
    <row r="725" spans="1:12" s="90" customFormat="1" ht="12.75" customHeight="1">
      <c r="A725" s="99" t="s">
        <v>23</v>
      </c>
      <c r="B725" s="100" t="s">
        <v>108</v>
      </c>
      <c r="C725" s="101"/>
      <c r="D725" s="101"/>
      <c r="E725" s="101"/>
      <c r="F725" s="102"/>
      <c r="G725" s="99" t="s">
        <v>23</v>
      </c>
      <c r="H725" s="100" t="s">
        <v>129</v>
      </c>
      <c r="I725" s="101">
        <f>SUM(I726:I730)</f>
        <v>6121997</v>
      </c>
      <c r="J725" s="101">
        <f>SUM(J726:J730)</f>
        <v>6121997</v>
      </c>
      <c r="K725" s="101">
        <f>SUM(K726:K730)</f>
        <v>2182420</v>
      </c>
      <c r="L725" s="102">
        <f>+K725/J725</f>
        <v>0.35648825048427824</v>
      </c>
    </row>
    <row r="726" spans="1:12" s="90" customFormat="1" ht="12.75" customHeight="1">
      <c r="A726" s="99" t="s">
        <v>111</v>
      </c>
      <c r="B726" s="116" t="s">
        <v>209</v>
      </c>
      <c r="C726" s="106"/>
      <c r="D726" s="106"/>
      <c r="E726" s="106"/>
      <c r="F726" s="599"/>
      <c r="G726" s="99" t="s">
        <v>111</v>
      </c>
      <c r="H726" s="116" t="s">
        <v>80</v>
      </c>
      <c r="I726" s="106">
        <v>4850878</v>
      </c>
      <c r="J726" s="106">
        <v>4850878</v>
      </c>
      <c r="K726" s="106">
        <v>1857379</v>
      </c>
      <c r="L726" s="599">
        <f aca="true" t="shared" si="5" ref="L726:L737">+K726/J726</f>
        <v>0.38289542635374463</v>
      </c>
    </row>
    <row r="727" spans="1:12" s="90" customFormat="1" ht="12.75" customHeight="1">
      <c r="A727" s="99"/>
      <c r="B727" s="116" t="s">
        <v>210</v>
      </c>
      <c r="C727" s="106"/>
      <c r="D727" s="106"/>
      <c r="E727" s="106"/>
      <c r="F727" s="599"/>
      <c r="G727" s="99" t="s">
        <v>112</v>
      </c>
      <c r="H727" s="116" t="s">
        <v>147</v>
      </c>
      <c r="I727" s="106">
        <v>1148310</v>
      </c>
      <c r="J727" s="106">
        <v>1148310</v>
      </c>
      <c r="K727" s="106">
        <v>325041</v>
      </c>
      <c r="L727" s="599">
        <f t="shared" si="5"/>
        <v>0.2830603234318259</v>
      </c>
    </row>
    <row r="728" spans="1:12" s="90" customFormat="1" ht="12.75" customHeight="1">
      <c r="A728" s="99" t="s">
        <v>112</v>
      </c>
      <c r="B728" s="116" t="s">
        <v>9</v>
      </c>
      <c r="C728" s="106"/>
      <c r="D728" s="106"/>
      <c r="E728" s="106"/>
      <c r="F728" s="599"/>
      <c r="G728" s="99" t="s">
        <v>113</v>
      </c>
      <c r="H728" s="116" t="s">
        <v>83</v>
      </c>
      <c r="I728" s="106">
        <f>182245+1000000-59436-1000000</f>
        <v>122809</v>
      </c>
      <c r="J728" s="106">
        <f>182245+1000000-59436-1000000</f>
        <v>122809</v>
      </c>
      <c r="K728" s="106">
        <v>0</v>
      </c>
      <c r="L728" s="599">
        <f t="shared" si="5"/>
        <v>0</v>
      </c>
    </row>
    <row r="729" spans="1:12" s="90" customFormat="1" ht="12.75" customHeight="1">
      <c r="A729" s="99" t="s">
        <v>113</v>
      </c>
      <c r="B729" s="116" t="s">
        <v>170</v>
      </c>
      <c r="C729" s="106"/>
      <c r="D729" s="106"/>
      <c r="E729" s="106"/>
      <c r="F729" s="599"/>
      <c r="G729" s="99" t="s">
        <v>114</v>
      </c>
      <c r="H729" s="116" t="s">
        <v>84</v>
      </c>
      <c r="I729" s="106"/>
      <c r="J729" s="106"/>
      <c r="K729" s="106"/>
      <c r="L729" s="599"/>
    </row>
    <row r="730" spans="1:12" s="90" customFormat="1" ht="12.75" customHeight="1">
      <c r="A730" s="99" t="s">
        <v>114</v>
      </c>
      <c r="B730" s="116" t="s">
        <v>181</v>
      </c>
      <c r="C730" s="106"/>
      <c r="D730" s="106"/>
      <c r="E730" s="106"/>
      <c r="F730" s="599"/>
      <c r="G730" s="99" t="s">
        <v>115</v>
      </c>
      <c r="H730" s="116" t="s">
        <v>211</v>
      </c>
      <c r="I730" s="106"/>
      <c r="J730" s="106"/>
      <c r="K730" s="106"/>
      <c r="L730" s="599"/>
    </row>
    <row r="731" spans="1:12" s="90" customFormat="1" ht="12.75" customHeight="1">
      <c r="A731" s="112" t="s">
        <v>45</v>
      </c>
      <c r="B731" s="100" t="s">
        <v>118</v>
      </c>
      <c r="C731" s="101"/>
      <c r="D731" s="101"/>
      <c r="E731" s="101"/>
      <c r="F731" s="102"/>
      <c r="G731" s="112" t="s">
        <v>45</v>
      </c>
      <c r="H731" s="100" t="s">
        <v>130</v>
      </c>
      <c r="I731" s="101">
        <f>I732+I733+I734</f>
        <v>1000000</v>
      </c>
      <c r="J731" s="101">
        <f>J732+J733+J734</f>
        <v>1000000</v>
      </c>
      <c r="K731" s="101">
        <f>K732+K733+K734</f>
        <v>1000000</v>
      </c>
      <c r="L731" s="102">
        <f t="shared" si="5"/>
        <v>1</v>
      </c>
    </row>
    <row r="732" spans="1:12" s="90" customFormat="1" ht="12.75" customHeight="1">
      <c r="A732" s="112" t="s">
        <v>111</v>
      </c>
      <c r="B732" s="100" t="s">
        <v>106</v>
      </c>
      <c r="C732" s="106"/>
      <c r="D732" s="106"/>
      <c r="E732" s="106"/>
      <c r="F732" s="599"/>
      <c r="G732" s="112" t="s">
        <v>111</v>
      </c>
      <c r="H732" s="100" t="s">
        <v>131</v>
      </c>
      <c r="I732" s="106">
        <v>1000000</v>
      </c>
      <c r="J732" s="106">
        <v>1000000</v>
      </c>
      <c r="K732" s="106">
        <v>1000000</v>
      </c>
      <c r="L732" s="599">
        <f t="shared" si="5"/>
        <v>1</v>
      </c>
    </row>
    <row r="733" spans="1:12" s="90" customFormat="1" ht="12.75" customHeight="1">
      <c r="A733" s="112" t="s">
        <v>112</v>
      </c>
      <c r="B733" s="100" t="s">
        <v>39</v>
      </c>
      <c r="C733" s="106"/>
      <c r="D733" s="106"/>
      <c r="E733" s="106"/>
      <c r="F733" s="599"/>
      <c r="G733" s="112" t="s">
        <v>112</v>
      </c>
      <c r="H733" s="100" t="s">
        <v>87</v>
      </c>
      <c r="I733" s="106"/>
      <c r="J733" s="106"/>
      <c r="K733" s="106"/>
      <c r="L733" s="599"/>
    </row>
    <row r="734" spans="1:12" s="90" customFormat="1" ht="12.75" customHeight="1">
      <c r="A734" s="112" t="s">
        <v>113</v>
      </c>
      <c r="B734" s="100" t="s">
        <v>201</v>
      </c>
      <c r="C734" s="106"/>
      <c r="D734" s="106"/>
      <c r="E734" s="106"/>
      <c r="F734" s="599"/>
      <c r="G734" s="112" t="s">
        <v>113</v>
      </c>
      <c r="H734" s="100" t="s">
        <v>90</v>
      </c>
      <c r="I734" s="106"/>
      <c r="J734" s="106"/>
      <c r="K734" s="106"/>
      <c r="L734" s="599"/>
    </row>
    <row r="735" spans="1:12" s="90" customFormat="1" ht="12.75" customHeight="1">
      <c r="A735" s="112" t="s">
        <v>56</v>
      </c>
      <c r="B735" s="100" t="s">
        <v>126</v>
      </c>
      <c r="C735" s="101">
        <v>6121997</v>
      </c>
      <c r="D735" s="101">
        <v>6121997</v>
      </c>
      <c r="E735" s="101">
        <v>6121997</v>
      </c>
      <c r="F735" s="102">
        <f>+E735/D735</f>
        <v>1</v>
      </c>
      <c r="G735" s="112" t="s">
        <v>56</v>
      </c>
      <c r="H735" s="100" t="s">
        <v>132</v>
      </c>
      <c r="I735" s="101"/>
      <c r="J735" s="101"/>
      <c r="K735" s="101"/>
      <c r="L735" s="102"/>
    </row>
    <row r="736" spans="1:12" s="90" customFormat="1" ht="12.75" customHeight="1">
      <c r="A736" s="99" t="s">
        <v>64</v>
      </c>
      <c r="B736" s="116" t="s">
        <v>127</v>
      </c>
      <c r="C736" s="101">
        <v>1000000</v>
      </c>
      <c r="D736" s="101">
        <v>1000000</v>
      </c>
      <c r="E736" s="101">
        <v>1000000</v>
      </c>
      <c r="F736" s="102">
        <f>+E736/D736</f>
        <v>1</v>
      </c>
      <c r="G736" s="99" t="s">
        <v>64</v>
      </c>
      <c r="H736" s="116" t="s">
        <v>133</v>
      </c>
      <c r="I736" s="101"/>
      <c r="J736" s="101"/>
      <c r="K736" s="101"/>
      <c r="L736" s="102"/>
    </row>
    <row r="737" spans="1:12" s="124" customFormat="1" ht="12.75" customHeight="1" thickBot="1">
      <c r="A737" s="117"/>
      <c r="B737" s="118" t="s">
        <v>148</v>
      </c>
      <c r="C737" s="88">
        <f>+C725+C731+C735+C736</f>
        <v>7121997</v>
      </c>
      <c r="D737" s="88">
        <f>+D725+D731+D735+D736</f>
        <v>7121997</v>
      </c>
      <c r="E737" s="88">
        <f>+E725+E731+E735+E736</f>
        <v>7121997</v>
      </c>
      <c r="F737" s="119">
        <f>+E737/D737</f>
        <v>1</v>
      </c>
      <c r="G737" s="117"/>
      <c r="H737" s="118" t="s">
        <v>149</v>
      </c>
      <c r="I737" s="88">
        <f>I725+I731+I735+I736</f>
        <v>7121997</v>
      </c>
      <c r="J737" s="88">
        <f>J725+J731+J735+J736</f>
        <v>7121997</v>
      </c>
      <c r="K737" s="88">
        <f>K725+K731+K735+K736</f>
        <v>3182420</v>
      </c>
      <c r="L737" s="119">
        <f t="shared" si="5"/>
        <v>0.44684377148712645</v>
      </c>
    </row>
    <row r="738" spans="1:12" s="126" customFormat="1" ht="12.75" customHeight="1">
      <c r="A738" s="124"/>
      <c r="B738" s="124"/>
      <c r="C738" s="93"/>
      <c r="D738" s="93"/>
      <c r="E738" s="93"/>
      <c r="F738" s="93"/>
      <c r="G738" s="124"/>
      <c r="H738" s="124"/>
      <c r="I738" s="93"/>
      <c r="J738" s="93"/>
      <c r="K738" s="93"/>
      <c r="L738" s="93"/>
    </row>
    <row r="739" spans="1:12" s="90" customFormat="1" ht="12.75" customHeight="1" thickBot="1">
      <c r="A739" s="90" t="s">
        <v>261</v>
      </c>
      <c r="B739" s="124"/>
      <c r="C739" s="93"/>
      <c r="D739" s="93"/>
      <c r="E739" s="93"/>
      <c r="F739" s="93"/>
      <c r="G739" s="124"/>
      <c r="H739" s="124"/>
      <c r="I739" s="595"/>
      <c r="J739" s="595"/>
      <c r="K739" s="93"/>
      <c r="L739" s="596" t="s">
        <v>216</v>
      </c>
    </row>
    <row r="740" spans="1:12" s="90" customFormat="1" ht="24.75" customHeight="1">
      <c r="A740" s="96"/>
      <c r="B740" s="97" t="s">
        <v>104</v>
      </c>
      <c r="C740" s="86" t="s">
        <v>227</v>
      </c>
      <c r="D740" s="86" t="s">
        <v>844</v>
      </c>
      <c r="E740" s="86" t="s">
        <v>303</v>
      </c>
      <c r="F740" s="87" t="s">
        <v>304</v>
      </c>
      <c r="G740" s="96">
        <v>59</v>
      </c>
      <c r="H740" s="97" t="s">
        <v>105</v>
      </c>
      <c r="I740" s="86" t="s">
        <v>227</v>
      </c>
      <c r="J740" s="86" t="s">
        <v>844</v>
      </c>
      <c r="K740" s="86" t="s">
        <v>303</v>
      </c>
      <c r="L740" s="87" t="s">
        <v>304</v>
      </c>
    </row>
    <row r="741" spans="1:12" s="90" customFormat="1" ht="12.75" customHeight="1">
      <c r="A741" s="99" t="s">
        <v>23</v>
      </c>
      <c r="B741" s="100" t="s">
        <v>108</v>
      </c>
      <c r="C741" s="101"/>
      <c r="D741" s="101"/>
      <c r="E741" s="101"/>
      <c r="F741" s="102"/>
      <c r="G741" s="99" t="s">
        <v>23</v>
      </c>
      <c r="H741" s="100" t="s">
        <v>129</v>
      </c>
      <c r="I741" s="101">
        <f>SUM(I742:I746)</f>
        <v>927858</v>
      </c>
      <c r="J741" s="101">
        <f>SUM(J742:J746)</f>
        <v>927858</v>
      </c>
      <c r="K741" s="101">
        <f>SUM(K742:K746)</f>
        <v>927859</v>
      </c>
      <c r="L741" s="102">
        <f>+K741/J741</f>
        <v>1.0000010777511215</v>
      </c>
    </row>
    <row r="742" spans="1:12" s="90" customFormat="1" ht="12.75" customHeight="1">
      <c r="A742" s="99" t="s">
        <v>111</v>
      </c>
      <c r="B742" s="116" t="s">
        <v>209</v>
      </c>
      <c r="C742" s="106"/>
      <c r="D742" s="106"/>
      <c r="E742" s="106"/>
      <c r="F742" s="599"/>
      <c r="G742" s="99" t="s">
        <v>111</v>
      </c>
      <c r="H742" s="116" t="s">
        <v>80</v>
      </c>
      <c r="I742" s="106"/>
      <c r="J742" s="106"/>
      <c r="K742" s="106"/>
      <c r="L742" s="599"/>
    </row>
    <row r="743" spans="1:12" s="90" customFormat="1" ht="12.75" customHeight="1">
      <c r="A743" s="99"/>
      <c r="B743" s="116" t="s">
        <v>210</v>
      </c>
      <c r="C743" s="106"/>
      <c r="D743" s="106"/>
      <c r="E743" s="106"/>
      <c r="F743" s="599"/>
      <c r="G743" s="99" t="s">
        <v>112</v>
      </c>
      <c r="H743" s="116" t="s">
        <v>147</v>
      </c>
      <c r="I743" s="106"/>
      <c r="J743" s="106"/>
      <c r="K743" s="106"/>
      <c r="L743" s="599"/>
    </row>
    <row r="744" spans="1:12" s="90" customFormat="1" ht="12.75" customHeight="1">
      <c r="A744" s="99" t="s">
        <v>112</v>
      </c>
      <c r="B744" s="116" t="s">
        <v>9</v>
      </c>
      <c r="C744" s="106"/>
      <c r="D744" s="106"/>
      <c r="E744" s="106"/>
      <c r="F744" s="599"/>
      <c r="G744" s="99" t="s">
        <v>113</v>
      </c>
      <c r="H744" s="116" t="s">
        <v>83</v>
      </c>
      <c r="I744" s="106">
        <f>927858-202574</f>
        <v>725284</v>
      </c>
      <c r="J744" s="106">
        <f>927858-202574</f>
        <v>725284</v>
      </c>
      <c r="K744" s="106">
        <v>725285</v>
      </c>
      <c r="L744" s="599">
        <f>+K744/J744</f>
        <v>1.0000013787702473</v>
      </c>
    </row>
    <row r="745" spans="1:12" s="90" customFormat="1" ht="12.75" customHeight="1">
      <c r="A745" s="99" t="s">
        <v>113</v>
      </c>
      <c r="B745" s="116" t="s">
        <v>170</v>
      </c>
      <c r="C745" s="106"/>
      <c r="D745" s="106"/>
      <c r="E745" s="106"/>
      <c r="F745" s="599"/>
      <c r="G745" s="99" t="s">
        <v>114</v>
      </c>
      <c r="H745" s="116" t="s">
        <v>84</v>
      </c>
      <c r="I745" s="106"/>
      <c r="J745" s="106"/>
      <c r="K745" s="106"/>
      <c r="L745" s="599"/>
    </row>
    <row r="746" spans="1:12" s="90" customFormat="1" ht="12.75" customHeight="1">
      <c r="A746" s="99" t="s">
        <v>114</v>
      </c>
      <c r="B746" s="116" t="s">
        <v>181</v>
      </c>
      <c r="C746" s="106"/>
      <c r="D746" s="106"/>
      <c r="E746" s="106"/>
      <c r="F746" s="599"/>
      <c r="G746" s="99" t="s">
        <v>115</v>
      </c>
      <c r="H746" s="116" t="s">
        <v>211</v>
      </c>
      <c r="I746" s="106">
        <v>202574</v>
      </c>
      <c r="J746" s="106">
        <v>202574</v>
      </c>
      <c r="K746" s="106">
        <v>202574</v>
      </c>
      <c r="L746" s="599">
        <f>+K746/J746</f>
        <v>1</v>
      </c>
    </row>
    <row r="747" spans="1:12" s="90" customFormat="1" ht="12.75" customHeight="1">
      <c r="A747" s="112" t="s">
        <v>45</v>
      </c>
      <c r="B747" s="100" t="s">
        <v>118</v>
      </c>
      <c r="C747" s="101"/>
      <c r="D747" s="101"/>
      <c r="E747" s="101"/>
      <c r="F747" s="102"/>
      <c r="G747" s="112" t="s">
        <v>45</v>
      </c>
      <c r="H747" s="100" t="s">
        <v>130</v>
      </c>
      <c r="I747" s="101"/>
      <c r="J747" s="101"/>
      <c r="K747" s="101"/>
      <c r="L747" s="102"/>
    </row>
    <row r="748" spans="1:12" s="90" customFormat="1" ht="12.75" customHeight="1">
      <c r="A748" s="112" t="s">
        <v>111</v>
      </c>
      <c r="B748" s="100" t="s">
        <v>106</v>
      </c>
      <c r="C748" s="106"/>
      <c r="D748" s="106"/>
      <c r="E748" s="106"/>
      <c r="F748" s="599"/>
      <c r="G748" s="112" t="s">
        <v>111</v>
      </c>
      <c r="H748" s="100" t="s">
        <v>131</v>
      </c>
      <c r="I748" s="106"/>
      <c r="J748" s="106"/>
      <c r="K748" s="106"/>
      <c r="L748" s="599"/>
    </row>
    <row r="749" spans="1:12" s="90" customFormat="1" ht="12.75" customHeight="1">
      <c r="A749" s="112" t="s">
        <v>112</v>
      </c>
      <c r="B749" s="100" t="s">
        <v>39</v>
      </c>
      <c r="C749" s="106"/>
      <c r="D749" s="106"/>
      <c r="E749" s="106"/>
      <c r="F749" s="599"/>
      <c r="G749" s="112" t="s">
        <v>112</v>
      </c>
      <c r="H749" s="100" t="s">
        <v>87</v>
      </c>
      <c r="I749" s="106"/>
      <c r="J749" s="106"/>
      <c r="K749" s="106"/>
      <c r="L749" s="599"/>
    </row>
    <row r="750" spans="1:12" s="90" customFormat="1" ht="12.75" customHeight="1">
      <c r="A750" s="112" t="s">
        <v>113</v>
      </c>
      <c r="B750" s="100" t="s">
        <v>201</v>
      </c>
      <c r="C750" s="106"/>
      <c r="D750" s="106"/>
      <c r="E750" s="106"/>
      <c r="F750" s="599"/>
      <c r="G750" s="112" t="s">
        <v>113</v>
      </c>
      <c r="H750" s="100" t="s">
        <v>90</v>
      </c>
      <c r="I750" s="106"/>
      <c r="J750" s="106"/>
      <c r="K750" s="106"/>
      <c r="L750" s="599"/>
    </row>
    <row r="751" spans="1:12" s="90" customFormat="1" ht="12.75" customHeight="1">
      <c r="A751" s="112" t="s">
        <v>56</v>
      </c>
      <c r="B751" s="100" t="s">
        <v>126</v>
      </c>
      <c r="C751" s="101">
        <v>927858</v>
      </c>
      <c r="D751" s="101">
        <v>927858</v>
      </c>
      <c r="E751" s="101">
        <v>927858</v>
      </c>
      <c r="F751" s="102">
        <f>+E751/D751</f>
        <v>1</v>
      </c>
      <c r="G751" s="112" t="s">
        <v>56</v>
      </c>
      <c r="H751" s="100" t="s">
        <v>132</v>
      </c>
      <c r="I751" s="101"/>
      <c r="J751" s="101"/>
      <c r="K751" s="101"/>
      <c r="L751" s="102"/>
    </row>
    <row r="752" spans="1:12" s="90" customFormat="1" ht="12.75" customHeight="1">
      <c r="A752" s="99" t="s">
        <v>64</v>
      </c>
      <c r="B752" s="116" t="s">
        <v>127</v>
      </c>
      <c r="C752" s="101"/>
      <c r="D752" s="101"/>
      <c r="E752" s="101"/>
      <c r="F752" s="102"/>
      <c r="G752" s="99" t="s">
        <v>64</v>
      </c>
      <c r="H752" s="116" t="s">
        <v>133</v>
      </c>
      <c r="I752" s="101"/>
      <c r="J752" s="101"/>
      <c r="K752" s="101"/>
      <c r="L752" s="102"/>
    </row>
    <row r="753" spans="1:12" s="124" customFormat="1" ht="12.75" customHeight="1" thickBot="1">
      <c r="A753" s="117"/>
      <c r="B753" s="118" t="s">
        <v>148</v>
      </c>
      <c r="C753" s="88">
        <f>+C741+C747+C751+C752</f>
        <v>927858</v>
      </c>
      <c r="D753" s="88">
        <f>+D741+D747+D751+D752</f>
        <v>927858</v>
      </c>
      <c r="E753" s="88">
        <f>+E741+E747+E751+E752</f>
        <v>927858</v>
      </c>
      <c r="F753" s="119">
        <f>+E753/D753</f>
        <v>1</v>
      </c>
      <c r="G753" s="117"/>
      <c r="H753" s="118" t="s">
        <v>149</v>
      </c>
      <c r="I753" s="88">
        <f>I741+I747+I751+I752</f>
        <v>927858</v>
      </c>
      <c r="J753" s="88">
        <f>J741+J747+J751+J752</f>
        <v>927858</v>
      </c>
      <c r="K753" s="88">
        <f>K741+K747+K751+K752</f>
        <v>927859</v>
      </c>
      <c r="L753" s="119">
        <f>+K753/J753</f>
        <v>1.0000010777511215</v>
      </c>
    </row>
    <row r="754" spans="1:12" s="126" customFormat="1" ht="15">
      <c r="A754" s="124"/>
      <c r="B754" s="124"/>
      <c r="C754" s="93"/>
      <c r="D754" s="93"/>
      <c r="E754" s="639"/>
      <c r="F754" s="639"/>
      <c r="G754" s="124"/>
      <c r="H754" s="124"/>
      <c r="I754" s="93"/>
      <c r="J754" s="93"/>
      <c r="K754" s="639"/>
      <c r="L754" s="639"/>
    </row>
    <row r="755" spans="1:12" s="90" customFormat="1" ht="12.75" customHeight="1" thickBot="1">
      <c r="A755" s="90" t="s">
        <v>262</v>
      </c>
      <c r="B755" s="124"/>
      <c r="C755" s="93"/>
      <c r="D755" s="93"/>
      <c r="E755" s="93"/>
      <c r="F755" s="93"/>
      <c r="G755" s="124"/>
      <c r="H755" s="124"/>
      <c r="I755" s="595"/>
      <c r="J755" s="595"/>
      <c r="K755" s="93"/>
      <c r="L755" s="596" t="s">
        <v>216</v>
      </c>
    </row>
    <row r="756" spans="1:12" s="90" customFormat="1" ht="24.75" customHeight="1">
      <c r="A756" s="96"/>
      <c r="B756" s="97" t="s">
        <v>104</v>
      </c>
      <c r="C756" s="86" t="s">
        <v>227</v>
      </c>
      <c r="D756" s="86" t="s">
        <v>844</v>
      </c>
      <c r="E756" s="86" t="s">
        <v>303</v>
      </c>
      <c r="F756" s="87" t="s">
        <v>304</v>
      </c>
      <c r="G756" s="96">
        <v>60</v>
      </c>
      <c r="H756" s="97" t="s">
        <v>105</v>
      </c>
      <c r="I756" s="86" t="s">
        <v>227</v>
      </c>
      <c r="J756" s="86" t="s">
        <v>844</v>
      </c>
      <c r="K756" s="86" t="s">
        <v>303</v>
      </c>
      <c r="L756" s="87" t="s">
        <v>304</v>
      </c>
    </row>
    <row r="757" spans="1:12" s="90" customFormat="1" ht="12.75" customHeight="1">
      <c r="A757" s="99" t="s">
        <v>23</v>
      </c>
      <c r="B757" s="100" t="s">
        <v>108</v>
      </c>
      <c r="C757" s="101"/>
      <c r="D757" s="101"/>
      <c r="E757" s="101"/>
      <c r="F757" s="102"/>
      <c r="G757" s="99" t="s">
        <v>23</v>
      </c>
      <c r="H757" s="100" t="s">
        <v>129</v>
      </c>
      <c r="I757" s="101">
        <f>SUM(I758:I762)</f>
        <v>478566</v>
      </c>
      <c r="J757" s="101">
        <f>SUM(J758:J762)</f>
        <v>478566</v>
      </c>
      <c r="K757" s="101">
        <f>SUM(K758:K762)</f>
        <v>478566</v>
      </c>
      <c r="L757" s="102">
        <f>+K757/J757</f>
        <v>1</v>
      </c>
    </row>
    <row r="758" spans="1:12" s="90" customFormat="1" ht="12.75" customHeight="1">
      <c r="A758" s="99" t="s">
        <v>111</v>
      </c>
      <c r="B758" s="116" t="s">
        <v>209</v>
      </c>
      <c r="C758" s="106"/>
      <c r="D758" s="106"/>
      <c r="E758" s="106"/>
      <c r="F758" s="599"/>
      <c r="G758" s="99" t="s">
        <v>111</v>
      </c>
      <c r="H758" s="116" t="s">
        <v>80</v>
      </c>
      <c r="I758" s="106"/>
      <c r="J758" s="106"/>
      <c r="K758" s="106"/>
      <c r="L758" s="599"/>
    </row>
    <row r="759" spans="1:12" s="90" customFormat="1" ht="12.75" customHeight="1">
      <c r="A759" s="99"/>
      <c r="B759" s="116" t="s">
        <v>210</v>
      </c>
      <c r="C759" s="106"/>
      <c r="D759" s="106"/>
      <c r="E759" s="106"/>
      <c r="F759" s="599"/>
      <c r="G759" s="99" t="s">
        <v>112</v>
      </c>
      <c r="H759" s="116" t="s">
        <v>147</v>
      </c>
      <c r="I759" s="106"/>
      <c r="J759" s="106"/>
      <c r="K759" s="106"/>
      <c r="L759" s="599"/>
    </row>
    <row r="760" spans="1:12" s="90" customFormat="1" ht="12.75" customHeight="1">
      <c r="A760" s="99" t="s">
        <v>112</v>
      </c>
      <c r="B760" s="116" t="s">
        <v>9</v>
      </c>
      <c r="C760" s="106"/>
      <c r="D760" s="106"/>
      <c r="E760" s="106"/>
      <c r="F760" s="599"/>
      <c r="G760" s="99" t="s">
        <v>113</v>
      </c>
      <c r="H760" s="116" t="s">
        <v>83</v>
      </c>
      <c r="I760" s="106"/>
      <c r="J760" s="106"/>
      <c r="K760" s="106"/>
      <c r="L760" s="599"/>
    </row>
    <row r="761" spans="1:12" s="90" customFormat="1" ht="12.75" customHeight="1">
      <c r="A761" s="99" t="s">
        <v>113</v>
      </c>
      <c r="B761" s="116" t="s">
        <v>170</v>
      </c>
      <c r="C761" s="106"/>
      <c r="D761" s="106"/>
      <c r="E761" s="106"/>
      <c r="F761" s="599"/>
      <c r="G761" s="99" t="s">
        <v>114</v>
      </c>
      <c r="H761" s="116" t="s">
        <v>84</v>
      </c>
      <c r="I761" s="106"/>
      <c r="J761" s="106"/>
      <c r="K761" s="106"/>
      <c r="L761" s="599"/>
    </row>
    <row r="762" spans="1:12" s="90" customFormat="1" ht="12.75" customHeight="1">
      <c r="A762" s="99" t="s">
        <v>114</v>
      </c>
      <c r="B762" s="116" t="s">
        <v>181</v>
      </c>
      <c r="C762" s="106"/>
      <c r="D762" s="106"/>
      <c r="E762" s="106"/>
      <c r="F762" s="599"/>
      <c r="G762" s="99" t="s">
        <v>115</v>
      </c>
      <c r="H762" s="116" t="s">
        <v>211</v>
      </c>
      <c r="I762" s="106">
        <v>478566</v>
      </c>
      <c r="J762" s="106">
        <v>478566</v>
      </c>
      <c r="K762" s="106">
        <v>478566</v>
      </c>
      <c r="L762" s="599">
        <f>+K762/J762</f>
        <v>1</v>
      </c>
    </row>
    <row r="763" spans="1:12" s="90" customFormat="1" ht="12.75" customHeight="1">
      <c r="A763" s="112" t="s">
        <v>45</v>
      </c>
      <c r="B763" s="100" t="s">
        <v>118</v>
      </c>
      <c r="C763" s="101"/>
      <c r="D763" s="101"/>
      <c r="E763" s="101"/>
      <c r="F763" s="102"/>
      <c r="G763" s="112" t="s">
        <v>45</v>
      </c>
      <c r="H763" s="100" t="s">
        <v>130</v>
      </c>
      <c r="I763" s="101"/>
      <c r="J763" s="101"/>
      <c r="K763" s="101"/>
      <c r="L763" s="102"/>
    </row>
    <row r="764" spans="1:12" s="90" customFormat="1" ht="12.75" customHeight="1">
      <c r="A764" s="112" t="s">
        <v>111</v>
      </c>
      <c r="B764" s="100" t="s">
        <v>106</v>
      </c>
      <c r="C764" s="106"/>
      <c r="D764" s="106"/>
      <c r="E764" s="106"/>
      <c r="F764" s="599"/>
      <c r="G764" s="112" t="s">
        <v>111</v>
      </c>
      <c r="H764" s="100" t="s">
        <v>131</v>
      </c>
      <c r="I764" s="106"/>
      <c r="J764" s="106"/>
      <c r="K764" s="106"/>
      <c r="L764" s="599"/>
    </row>
    <row r="765" spans="1:12" s="90" customFormat="1" ht="12.75" customHeight="1">
      <c r="A765" s="112" t="s">
        <v>112</v>
      </c>
      <c r="B765" s="100" t="s">
        <v>39</v>
      </c>
      <c r="C765" s="106"/>
      <c r="D765" s="106"/>
      <c r="E765" s="106"/>
      <c r="F765" s="599"/>
      <c r="G765" s="112" t="s">
        <v>112</v>
      </c>
      <c r="H765" s="100" t="s">
        <v>87</v>
      </c>
      <c r="I765" s="106"/>
      <c r="J765" s="106"/>
      <c r="K765" s="106"/>
      <c r="L765" s="599"/>
    </row>
    <row r="766" spans="1:12" s="90" customFormat="1" ht="12.75" customHeight="1">
      <c r="A766" s="112" t="s">
        <v>113</v>
      </c>
      <c r="B766" s="100" t="s">
        <v>201</v>
      </c>
      <c r="C766" s="106"/>
      <c r="D766" s="106"/>
      <c r="E766" s="106"/>
      <c r="F766" s="599"/>
      <c r="G766" s="112" t="s">
        <v>113</v>
      </c>
      <c r="H766" s="100" t="s">
        <v>90</v>
      </c>
      <c r="I766" s="106"/>
      <c r="J766" s="106"/>
      <c r="K766" s="106"/>
      <c r="L766" s="599"/>
    </row>
    <row r="767" spans="1:12" s="90" customFormat="1" ht="12.75" customHeight="1">
      <c r="A767" s="112" t="s">
        <v>56</v>
      </c>
      <c r="B767" s="100" t="s">
        <v>126</v>
      </c>
      <c r="C767" s="101">
        <v>478566</v>
      </c>
      <c r="D767" s="101">
        <v>478566</v>
      </c>
      <c r="E767" s="101">
        <v>478566</v>
      </c>
      <c r="F767" s="102">
        <f>+E767/D767</f>
        <v>1</v>
      </c>
      <c r="G767" s="112" t="s">
        <v>56</v>
      </c>
      <c r="H767" s="100" t="s">
        <v>132</v>
      </c>
      <c r="I767" s="101"/>
      <c r="J767" s="101"/>
      <c r="K767" s="101"/>
      <c r="L767" s="102"/>
    </row>
    <row r="768" spans="1:12" s="90" customFormat="1" ht="12.75" customHeight="1">
      <c r="A768" s="99" t="s">
        <v>64</v>
      </c>
      <c r="B768" s="116" t="s">
        <v>127</v>
      </c>
      <c r="C768" s="101"/>
      <c r="D768" s="101"/>
      <c r="E768" s="101"/>
      <c r="F768" s="102"/>
      <c r="G768" s="99" t="s">
        <v>64</v>
      </c>
      <c r="H768" s="116" t="s">
        <v>133</v>
      </c>
      <c r="I768" s="101"/>
      <c r="J768" s="101"/>
      <c r="K768" s="101"/>
      <c r="L768" s="102"/>
    </row>
    <row r="769" spans="1:12" s="124" customFormat="1" ht="12.75" customHeight="1" thickBot="1">
      <c r="A769" s="117"/>
      <c r="B769" s="118" t="s">
        <v>148</v>
      </c>
      <c r="C769" s="88">
        <f>+C757+C763+C767+C768</f>
        <v>478566</v>
      </c>
      <c r="D769" s="88">
        <f>+D757+D763+D767+D768</f>
        <v>478566</v>
      </c>
      <c r="E769" s="88">
        <f>+E757+E763+E767+E768</f>
        <v>478566</v>
      </c>
      <c r="F769" s="119">
        <f>+E769/D769</f>
        <v>1</v>
      </c>
      <c r="G769" s="117"/>
      <c r="H769" s="118" t="s">
        <v>149</v>
      </c>
      <c r="I769" s="88">
        <f>I757+I763+I767+I768</f>
        <v>478566</v>
      </c>
      <c r="J769" s="88">
        <f>J757+J763+J767+J768</f>
        <v>478566</v>
      </c>
      <c r="K769" s="88">
        <f>K757+K763+K767+K768</f>
        <v>478566</v>
      </c>
      <c r="L769" s="119">
        <f>+K769/J769</f>
        <v>1</v>
      </c>
    </row>
    <row r="770" spans="1:12" s="126" customFormat="1" ht="12.75" customHeight="1">
      <c r="A770" s="124"/>
      <c r="B770" s="124"/>
      <c r="C770" s="93"/>
      <c r="D770" s="93"/>
      <c r="E770" s="595"/>
      <c r="F770" s="595"/>
      <c r="G770" s="124"/>
      <c r="H770" s="124"/>
      <c r="I770" s="93"/>
      <c r="J770" s="93"/>
      <c r="K770" s="595"/>
      <c r="L770" s="595"/>
    </row>
    <row r="771" spans="1:12" s="90" customFormat="1" ht="12.75" customHeight="1" thickBot="1">
      <c r="A771" s="90" t="s">
        <v>271</v>
      </c>
      <c r="B771" s="124"/>
      <c r="C771" s="93"/>
      <c r="D771" s="93"/>
      <c r="E771" s="93"/>
      <c r="F771" s="93"/>
      <c r="G771" s="124"/>
      <c r="H771" s="124"/>
      <c r="I771" s="595"/>
      <c r="J771" s="595"/>
      <c r="K771" s="93"/>
      <c r="L771" s="596" t="s">
        <v>216</v>
      </c>
    </row>
    <row r="772" spans="1:12" s="90" customFormat="1" ht="24.75" customHeight="1">
      <c r="A772" s="96"/>
      <c r="B772" s="97" t="s">
        <v>104</v>
      </c>
      <c r="C772" s="86" t="s">
        <v>227</v>
      </c>
      <c r="D772" s="86" t="s">
        <v>844</v>
      </c>
      <c r="E772" s="86" t="s">
        <v>303</v>
      </c>
      <c r="F772" s="87" t="s">
        <v>304</v>
      </c>
      <c r="G772" s="96">
        <v>62</v>
      </c>
      <c r="H772" s="97" t="s">
        <v>105</v>
      </c>
      <c r="I772" s="86" t="s">
        <v>227</v>
      </c>
      <c r="J772" s="86" t="s">
        <v>844</v>
      </c>
      <c r="K772" s="86" t="s">
        <v>303</v>
      </c>
      <c r="L772" s="87" t="s">
        <v>304</v>
      </c>
    </row>
    <row r="773" spans="1:12" s="90" customFormat="1" ht="12.75" customHeight="1">
      <c r="A773" s="99" t="s">
        <v>23</v>
      </c>
      <c r="B773" s="100" t="s">
        <v>108</v>
      </c>
      <c r="C773" s="101"/>
      <c r="D773" s="101"/>
      <c r="E773" s="101"/>
      <c r="F773" s="102"/>
      <c r="G773" s="99" t="s">
        <v>23</v>
      </c>
      <c r="H773" s="100" t="s">
        <v>129</v>
      </c>
      <c r="I773" s="101">
        <f>SUM(I774:I778)</f>
        <v>889513</v>
      </c>
      <c r="J773" s="101">
        <f>SUM(J774:J778)</f>
        <v>889513</v>
      </c>
      <c r="K773" s="101">
        <f>SUM(K774:K778)</f>
        <v>583704</v>
      </c>
      <c r="L773" s="102">
        <f>+K773/J773</f>
        <v>0.6562062611788698</v>
      </c>
    </row>
    <row r="774" spans="1:12" s="90" customFormat="1" ht="12.75" customHeight="1">
      <c r="A774" s="99" t="s">
        <v>111</v>
      </c>
      <c r="B774" s="116" t="s">
        <v>209</v>
      </c>
      <c r="C774" s="106"/>
      <c r="D774" s="106"/>
      <c r="E774" s="106"/>
      <c r="F774" s="599"/>
      <c r="G774" s="99" t="s">
        <v>111</v>
      </c>
      <c r="H774" s="116" t="s">
        <v>80</v>
      </c>
      <c r="I774" s="106">
        <v>497723</v>
      </c>
      <c r="J774" s="106">
        <v>497723</v>
      </c>
      <c r="K774" s="106">
        <v>497723</v>
      </c>
      <c r="L774" s="599">
        <f>+K774/J774</f>
        <v>1</v>
      </c>
    </row>
    <row r="775" spans="1:12" s="90" customFormat="1" ht="12.75" customHeight="1">
      <c r="A775" s="99"/>
      <c r="B775" s="116" t="s">
        <v>210</v>
      </c>
      <c r="C775" s="106"/>
      <c r="D775" s="106"/>
      <c r="E775" s="106"/>
      <c r="F775" s="599"/>
      <c r="G775" s="99" t="s">
        <v>112</v>
      </c>
      <c r="H775" s="116" t="s">
        <v>147</v>
      </c>
      <c r="I775" s="106">
        <v>81790</v>
      </c>
      <c r="J775" s="106">
        <v>81790</v>
      </c>
      <c r="K775" s="106">
        <v>81790</v>
      </c>
      <c r="L775" s="599">
        <f>+K775/J775</f>
        <v>1</v>
      </c>
    </row>
    <row r="776" spans="1:12" s="90" customFormat="1" ht="12.75" customHeight="1">
      <c r="A776" s="99" t="s">
        <v>112</v>
      </c>
      <c r="B776" s="116" t="s">
        <v>9</v>
      </c>
      <c r="C776" s="106"/>
      <c r="D776" s="106"/>
      <c r="E776" s="106"/>
      <c r="F776" s="599"/>
      <c r="G776" s="99" t="s">
        <v>113</v>
      </c>
      <c r="H776" s="116" t="s">
        <v>83</v>
      </c>
      <c r="I776" s="106">
        <v>4191</v>
      </c>
      <c r="J776" s="106">
        <v>4191</v>
      </c>
      <c r="K776" s="106">
        <v>4191</v>
      </c>
      <c r="L776" s="599">
        <f>+K776/J776</f>
        <v>1</v>
      </c>
    </row>
    <row r="777" spans="1:12" s="90" customFormat="1" ht="12.75" customHeight="1">
      <c r="A777" s="99" t="s">
        <v>113</v>
      </c>
      <c r="B777" s="116" t="s">
        <v>170</v>
      </c>
      <c r="C777" s="106"/>
      <c r="D777" s="106"/>
      <c r="E777" s="106"/>
      <c r="F777" s="599"/>
      <c r="G777" s="99" t="s">
        <v>114</v>
      </c>
      <c r="H777" s="116" t="s">
        <v>84</v>
      </c>
      <c r="I777" s="106"/>
      <c r="J777" s="106"/>
      <c r="K777" s="106"/>
      <c r="L777" s="599"/>
    </row>
    <row r="778" spans="1:12" s="90" customFormat="1" ht="12.75" customHeight="1">
      <c r="A778" s="99" t="s">
        <v>114</v>
      </c>
      <c r="B778" s="116" t="s">
        <v>181</v>
      </c>
      <c r="C778" s="106"/>
      <c r="D778" s="106"/>
      <c r="E778" s="106"/>
      <c r="F778" s="599"/>
      <c r="G778" s="99" t="s">
        <v>115</v>
      </c>
      <c r="H778" s="116" t="s">
        <v>211</v>
      </c>
      <c r="I778" s="106">
        <v>305809</v>
      </c>
      <c r="J778" s="106">
        <v>305809</v>
      </c>
      <c r="K778" s="106">
        <v>0</v>
      </c>
      <c r="L778" s="599">
        <f>+K778/J778</f>
        <v>0</v>
      </c>
    </row>
    <row r="779" spans="1:12" s="90" customFormat="1" ht="12.75" customHeight="1">
      <c r="A779" s="112" t="s">
        <v>45</v>
      </c>
      <c r="B779" s="100" t="s">
        <v>118</v>
      </c>
      <c r="C779" s="101"/>
      <c r="D779" s="101"/>
      <c r="E779" s="101"/>
      <c r="F779" s="102"/>
      <c r="G779" s="112" t="s">
        <v>45</v>
      </c>
      <c r="H779" s="100" t="s">
        <v>130</v>
      </c>
      <c r="I779" s="101"/>
      <c r="J779" s="101"/>
      <c r="K779" s="101"/>
      <c r="L779" s="102"/>
    </row>
    <row r="780" spans="1:12" s="90" customFormat="1" ht="12.75" customHeight="1">
      <c r="A780" s="112" t="s">
        <v>111</v>
      </c>
      <c r="B780" s="100" t="s">
        <v>106</v>
      </c>
      <c r="C780" s="106"/>
      <c r="D780" s="106"/>
      <c r="E780" s="106"/>
      <c r="F780" s="599"/>
      <c r="G780" s="112" t="s">
        <v>111</v>
      </c>
      <c r="H780" s="100" t="s">
        <v>131</v>
      </c>
      <c r="I780" s="106"/>
      <c r="J780" s="106"/>
      <c r="K780" s="106"/>
      <c r="L780" s="599"/>
    </row>
    <row r="781" spans="1:12" s="90" customFormat="1" ht="12.75" customHeight="1">
      <c r="A781" s="112" t="s">
        <v>112</v>
      </c>
      <c r="B781" s="100" t="s">
        <v>39</v>
      </c>
      <c r="C781" s="106"/>
      <c r="D781" s="106"/>
      <c r="E781" s="106"/>
      <c r="F781" s="599"/>
      <c r="G781" s="112" t="s">
        <v>112</v>
      </c>
      <c r="H781" s="100" t="s">
        <v>87</v>
      </c>
      <c r="I781" s="106"/>
      <c r="J781" s="106"/>
      <c r="K781" s="106"/>
      <c r="L781" s="599"/>
    </row>
    <row r="782" spans="1:12" s="90" customFormat="1" ht="12.75" customHeight="1">
      <c r="A782" s="112" t="s">
        <v>113</v>
      </c>
      <c r="B782" s="100" t="s">
        <v>201</v>
      </c>
      <c r="C782" s="106"/>
      <c r="D782" s="106"/>
      <c r="E782" s="106"/>
      <c r="F782" s="599"/>
      <c r="G782" s="112" t="s">
        <v>113</v>
      </c>
      <c r="H782" s="100" t="s">
        <v>90</v>
      </c>
      <c r="I782" s="106"/>
      <c r="J782" s="106"/>
      <c r="K782" s="106"/>
      <c r="L782" s="599"/>
    </row>
    <row r="783" spans="1:12" s="90" customFormat="1" ht="12.75" customHeight="1">
      <c r="A783" s="112" t="s">
        <v>56</v>
      </c>
      <c r="B783" s="100" t="s">
        <v>126</v>
      </c>
      <c r="C783" s="101">
        <v>889513</v>
      </c>
      <c r="D783" s="101">
        <v>889513</v>
      </c>
      <c r="E783" s="101">
        <v>889513</v>
      </c>
      <c r="F783" s="102">
        <f>+E783/D783</f>
        <v>1</v>
      </c>
      <c r="G783" s="112" t="s">
        <v>56</v>
      </c>
      <c r="H783" s="100" t="s">
        <v>132</v>
      </c>
      <c r="I783" s="101"/>
      <c r="J783" s="101"/>
      <c r="K783" s="101"/>
      <c r="L783" s="102"/>
    </row>
    <row r="784" spans="1:12" s="90" customFormat="1" ht="12.75" customHeight="1">
      <c r="A784" s="99" t="s">
        <v>64</v>
      </c>
      <c r="B784" s="116" t="s">
        <v>127</v>
      </c>
      <c r="C784" s="101"/>
      <c r="D784" s="101"/>
      <c r="E784" s="101"/>
      <c r="F784" s="102"/>
      <c r="G784" s="99" t="s">
        <v>64</v>
      </c>
      <c r="H784" s="116" t="s">
        <v>133</v>
      </c>
      <c r="I784" s="101"/>
      <c r="J784" s="101"/>
      <c r="K784" s="101"/>
      <c r="L784" s="102"/>
    </row>
    <row r="785" spans="1:12" s="124" customFormat="1" ht="12.75" customHeight="1" thickBot="1">
      <c r="A785" s="117"/>
      <c r="B785" s="118" t="s">
        <v>148</v>
      </c>
      <c r="C785" s="88">
        <f>+C773+C779+C783+C784</f>
        <v>889513</v>
      </c>
      <c r="D785" s="88">
        <f>+D773+D779+D783+D784</f>
        <v>889513</v>
      </c>
      <c r="E785" s="88">
        <f>+E773+E779+E783+E784</f>
        <v>889513</v>
      </c>
      <c r="F785" s="119">
        <f>+E785/D785</f>
        <v>1</v>
      </c>
      <c r="G785" s="117"/>
      <c r="H785" s="118" t="s">
        <v>149</v>
      </c>
      <c r="I785" s="88">
        <f>I773+I779+I783+I784</f>
        <v>889513</v>
      </c>
      <c r="J785" s="88">
        <f>J773+J779+J783+J784</f>
        <v>889513</v>
      </c>
      <c r="K785" s="88">
        <f>K773+K779+K783+K784</f>
        <v>583704</v>
      </c>
      <c r="L785" s="119">
        <f>+K785/J785</f>
        <v>0.6562062611788698</v>
      </c>
    </row>
    <row r="786" spans="1:12" s="126" customFormat="1" ht="12.75" customHeight="1">
      <c r="A786" s="124"/>
      <c r="B786" s="124"/>
      <c r="C786" s="93"/>
      <c r="D786" s="93"/>
      <c r="E786" s="93"/>
      <c r="F786" s="93"/>
      <c r="G786" s="124"/>
      <c r="H786" s="124"/>
      <c r="I786" s="93"/>
      <c r="J786" s="93"/>
      <c r="K786" s="93"/>
      <c r="L786" s="93"/>
    </row>
    <row r="787" spans="1:12" s="90" customFormat="1" ht="12.75" customHeight="1" thickBot="1">
      <c r="A787" s="90" t="s">
        <v>272</v>
      </c>
      <c r="B787" s="124"/>
      <c r="C787" s="93"/>
      <c r="D787" s="93"/>
      <c r="E787" s="93"/>
      <c r="F787" s="93"/>
      <c r="G787" s="124"/>
      <c r="H787" s="124"/>
      <c r="I787" s="595"/>
      <c r="J787" s="595"/>
      <c r="K787" s="93"/>
      <c r="L787" s="596" t="s">
        <v>216</v>
      </c>
    </row>
    <row r="788" spans="1:12" s="90" customFormat="1" ht="24.75" customHeight="1">
      <c r="A788" s="96"/>
      <c r="B788" s="97" t="s">
        <v>104</v>
      </c>
      <c r="C788" s="86" t="s">
        <v>227</v>
      </c>
      <c r="D788" s="86" t="s">
        <v>844</v>
      </c>
      <c r="E788" s="86" t="s">
        <v>303</v>
      </c>
      <c r="F788" s="87" t="s">
        <v>304</v>
      </c>
      <c r="G788" s="96">
        <v>63</v>
      </c>
      <c r="H788" s="97" t="s">
        <v>105</v>
      </c>
      <c r="I788" s="86" t="s">
        <v>227</v>
      </c>
      <c r="J788" s="86" t="s">
        <v>844</v>
      </c>
      <c r="K788" s="86" t="s">
        <v>303</v>
      </c>
      <c r="L788" s="87" t="s">
        <v>304</v>
      </c>
    </row>
    <row r="789" spans="1:12" s="90" customFormat="1" ht="12.75" customHeight="1">
      <c r="A789" s="99" t="s">
        <v>23</v>
      </c>
      <c r="B789" s="100" t="s">
        <v>108</v>
      </c>
      <c r="C789" s="101"/>
      <c r="D789" s="101"/>
      <c r="E789" s="101"/>
      <c r="F789" s="102"/>
      <c r="G789" s="99" t="s">
        <v>23</v>
      </c>
      <c r="H789" s="100" t="s">
        <v>129</v>
      </c>
      <c r="I789" s="101">
        <f>SUM(I790:I794)</f>
        <v>430000</v>
      </c>
      <c r="J789" s="101">
        <f>SUM(J790:J794)</f>
        <v>430000</v>
      </c>
      <c r="K789" s="101">
        <f>SUM(K790:K794)</f>
        <v>430000</v>
      </c>
      <c r="L789" s="102">
        <f>+K789/J789</f>
        <v>1</v>
      </c>
    </row>
    <row r="790" spans="1:12" s="90" customFormat="1" ht="12.75" customHeight="1">
      <c r="A790" s="99" t="s">
        <v>111</v>
      </c>
      <c r="B790" s="116" t="s">
        <v>209</v>
      </c>
      <c r="C790" s="106"/>
      <c r="D790" s="106"/>
      <c r="E790" s="106"/>
      <c r="F790" s="599"/>
      <c r="G790" s="99" t="s">
        <v>111</v>
      </c>
      <c r="H790" s="116" t="s">
        <v>80</v>
      </c>
      <c r="I790" s="106"/>
      <c r="J790" s="106"/>
      <c r="K790" s="106"/>
      <c r="L790" s="599"/>
    </row>
    <row r="791" spans="1:12" s="90" customFormat="1" ht="12.75" customHeight="1">
      <c r="A791" s="99"/>
      <c r="B791" s="116" t="s">
        <v>210</v>
      </c>
      <c r="C791" s="106"/>
      <c r="D791" s="106"/>
      <c r="E791" s="106"/>
      <c r="F791" s="599"/>
      <c r="G791" s="99" t="s">
        <v>112</v>
      </c>
      <c r="H791" s="116" t="s">
        <v>147</v>
      </c>
      <c r="I791" s="106"/>
      <c r="J791" s="106"/>
      <c r="K791" s="106"/>
      <c r="L791" s="599"/>
    </row>
    <row r="792" spans="1:12" s="90" customFormat="1" ht="12.75" customHeight="1">
      <c r="A792" s="99" t="s">
        <v>112</v>
      </c>
      <c r="B792" s="116" t="s">
        <v>9</v>
      </c>
      <c r="C792" s="106"/>
      <c r="D792" s="106"/>
      <c r="E792" s="106"/>
      <c r="F792" s="599"/>
      <c r="G792" s="99" t="s">
        <v>113</v>
      </c>
      <c r="H792" s="116" t="s">
        <v>83</v>
      </c>
      <c r="I792" s="106">
        <v>430000</v>
      </c>
      <c r="J792" s="106">
        <v>430000</v>
      </c>
      <c r="K792" s="106">
        <v>430000</v>
      </c>
      <c r="L792" s="599">
        <f>+K792/J792</f>
        <v>1</v>
      </c>
    </row>
    <row r="793" spans="1:12" s="90" customFormat="1" ht="12.75" customHeight="1">
      <c r="A793" s="99" t="s">
        <v>113</v>
      </c>
      <c r="B793" s="116" t="s">
        <v>170</v>
      </c>
      <c r="C793" s="106"/>
      <c r="D793" s="106"/>
      <c r="E793" s="106"/>
      <c r="F793" s="599"/>
      <c r="G793" s="99" t="s">
        <v>114</v>
      </c>
      <c r="H793" s="116" t="s">
        <v>84</v>
      </c>
      <c r="I793" s="106"/>
      <c r="J793" s="106"/>
      <c r="K793" s="106"/>
      <c r="L793" s="599"/>
    </row>
    <row r="794" spans="1:12" s="90" customFormat="1" ht="12.75" customHeight="1">
      <c r="A794" s="99" t="s">
        <v>114</v>
      </c>
      <c r="B794" s="116" t="s">
        <v>181</v>
      </c>
      <c r="C794" s="106"/>
      <c r="D794" s="106"/>
      <c r="E794" s="106"/>
      <c r="F794" s="599"/>
      <c r="G794" s="99" t="s">
        <v>115</v>
      </c>
      <c r="H794" s="116" t="s">
        <v>211</v>
      </c>
      <c r="I794" s="106"/>
      <c r="J794" s="106"/>
      <c r="K794" s="106"/>
      <c r="L794" s="599"/>
    </row>
    <row r="795" spans="1:12" s="90" customFormat="1" ht="12.75" customHeight="1">
      <c r="A795" s="112" t="s">
        <v>45</v>
      </c>
      <c r="B795" s="100" t="s">
        <v>118</v>
      </c>
      <c r="C795" s="101"/>
      <c r="D795" s="101"/>
      <c r="E795" s="101"/>
      <c r="F795" s="102"/>
      <c r="G795" s="112" t="s">
        <v>45</v>
      </c>
      <c r="H795" s="100" t="s">
        <v>130</v>
      </c>
      <c r="I795" s="101"/>
      <c r="J795" s="101"/>
      <c r="K795" s="101"/>
      <c r="L795" s="102"/>
    </row>
    <row r="796" spans="1:12" s="90" customFormat="1" ht="12.75" customHeight="1">
      <c r="A796" s="112" t="s">
        <v>111</v>
      </c>
      <c r="B796" s="100" t="s">
        <v>106</v>
      </c>
      <c r="C796" s="106"/>
      <c r="D796" s="106"/>
      <c r="E796" s="106"/>
      <c r="F796" s="599"/>
      <c r="G796" s="112" t="s">
        <v>111</v>
      </c>
      <c r="H796" s="100" t="s">
        <v>131</v>
      </c>
      <c r="I796" s="106"/>
      <c r="J796" s="106"/>
      <c r="K796" s="106"/>
      <c r="L796" s="599"/>
    </row>
    <row r="797" spans="1:12" s="90" customFormat="1" ht="12.75" customHeight="1">
      <c r="A797" s="112" t="s">
        <v>112</v>
      </c>
      <c r="B797" s="100" t="s">
        <v>39</v>
      </c>
      <c r="C797" s="106"/>
      <c r="D797" s="106"/>
      <c r="E797" s="106"/>
      <c r="F797" s="599"/>
      <c r="G797" s="112" t="s">
        <v>112</v>
      </c>
      <c r="H797" s="100" t="s">
        <v>87</v>
      </c>
      <c r="I797" s="106"/>
      <c r="J797" s="106"/>
      <c r="K797" s="106"/>
      <c r="L797" s="599"/>
    </row>
    <row r="798" spans="1:12" s="90" customFormat="1" ht="12.75" customHeight="1">
      <c r="A798" s="112" t="s">
        <v>113</v>
      </c>
      <c r="B798" s="100" t="s">
        <v>201</v>
      </c>
      <c r="C798" s="106"/>
      <c r="D798" s="106"/>
      <c r="E798" s="106"/>
      <c r="F798" s="599"/>
      <c r="G798" s="112" t="s">
        <v>113</v>
      </c>
      <c r="H798" s="100" t="s">
        <v>90</v>
      </c>
      <c r="I798" s="106"/>
      <c r="J798" s="106"/>
      <c r="K798" s="106"/>
      <c r="L798" s="599"/>
    </row>
    <row r="799" spans="1:12" s="90" customFormat="1" ht="12.75" customHeight="1">
      <c r="A799" s="112" t="s">
        <v>56</v>
      </c>
      <c r="B799" s="100" t="s">
        <v>126</v>
      </c>
      <c r="C799" s="101">
        <v>430000</v>
      </c>
      <c r="D799" s="101">
        <v>430000</v>
      </c>
      <c r="E799" s="101">
        <v>430000</v>
      </c>
      <c r="F799" s="102">
        <f>+E799/D799</f>
        <v>1</v>
      </c>
      <c r="G799" s="112" t="s">
        <v>56</v>
      </c>
      <c r="H799" s="100" t="s">
        <v>132</v>
      </c>
      <c r="I799" s="101"/>
      <c r="J799" s="101"/>
      <c r="K799" s="101"/>
      <c r="L799" s="102"/>
    </row>
    <row r="800" spans="1:12" s="90" customFormat="1" ht="12.75" customHeight="1">
      <c r="A800" s="99" t="s">
        <v>64</v>
      </c>
      <c r="B800" s="116" t="s">
        <v>127</v>
      </c>
      <c r="C800" s="101"/>
      <c r="D800" s="101"/>
      <c r="E800" s="101"/>
      <c r="F800" s="102"/>
      <c r="G800" s="99" t="s">
        <v>64</v>
      </c>
      <c r="H800" s="116" t="s">
        <v>133</v>
      </c>
      <c r="I800" s="101"/>
      <c r="J800" s="101"/>
      <c r="K800" s="101"/>
      <c r="L800" s="102"/>
    </row>
    <row r="801" spans="1:12" s="124" customFormat="1" ht="12.75" customHeight="1" thickBot="1">
      <c r="A801" s="117"/>
      <c r="B801" s="118" t="s">
        <v>148</v>
      </c>
      <c r="C801" s="88">
        <f>+C789+C795+C799+C800</f>
        <v>430000</v>
      </c>
      <c r="D801" s="88">
        <f>+D789+D795+D799+D800</f>
        <v>430000</v>
      </c>
      <c r="E801" s="88">
        <f>+E789+E795+E799+E800</f>
        <v>430000</v>
      </c>
      <c r="F801" s="119">
        <f>+E801/D801</f>
        <v>1</v>
      </c>
      <c r="G801" s="117"/>
      <c r="H801" s="118" t="s">
        <v>149</v>
      </c>
      <c r="I801" s="88">
        <f>I789+I795+I799+I800</f>
        <v>430000</v>
      </c>
      <c r="J801" s="88">
        <f>J789+J795+J799+J800</f>
        <v>430000</v>
      </c>
      <c r="K801" s="88">
        <f>K789+K795+K799+K800</f>
        <v>430000</v>
      </c>
      <c r="L801" s="119">
        <f>+K801/J801</f>
        <v>1</v>
      </c>
    </row>
    <row r="802" spans="1:12" s="55" customFormat="1" ht="12.75" customHeight="1">
      <c r="A802" s="72"/>
      <c r="B802" s="72"/>
      <c r="C802" s="623"/>
      <c r="D802" s="623"/>
      <c r="E802" s="53"/>
      <c r="F802" s="53"/>
      <c r="G802" s="72"/>
      <c r="H802" s="72"/>
      <c r="I802" s="53"/>
      <c r="J802" s="53"/>
      <c r="K802" s="53"/>
      <c r="L802" s="53"/>
    </row>
    <row r="803" spans="1:12" s="126" customFormat="1" ht="15">
      <c r="A803" s="124"/>
      <c r="B803" s="124"/>
      <c r="C803" s="93"/>
      <c r="D803" s="93"/>
      <c r="E803" s="93"/>
      <c r="F803" s="93"/>
      <c r="G803" s="124"/>
      <c r="H803" s="124"/>
      <c r="I803" s="93"/>
      <c r="J803" s="93"/>
      <c r="K803" s="93"/>
      <c r="L803" s="93"/>
    </row>
    <row r="804" spans="1:12" s="90" customFormat="1" ht="12.75" customHeight="1" thickBot="1">
      <c r="A804" s="90" t="s">
        <v>285</v>
      </c>
      <c r="B804" s="124"/>
      <c r="C804" s="93"/>
      <c r="D804" s="93"/>
      <c r="E804" s="93"/>
      <c r="F804" s="93"/>
      <c r="G804" s="124"/>
      <c r="H804" s="124"/>
      <c r="I804" s="595"/>
      <c r="J804" s="595"/>
      <c r="K804" s="93"/>
      <c r="L804" s="596" t="s">
        <v>216</v>
      </c>
    </row>
    <row r="805" spans="1:12" s="90" customFormat="1" ht="24.75" customHeight="1">
      <c r="A805" s="96"/>
      <c r="B805" s="97" t="s">
        <v>104</v>
      </c>
      <c r="C805" s="86" t="s">
        <v>227</v>
      </c>
      <c r="D805" s="86" t="s">
        <v>844</v>
      </c>
      <c r="E805" s="86" t="s">
        <v>303</v>
      </c>
      <c r="F805" s="87" t="s">
        <v>304</v>
      </c>
      <c r="G805" s="96">
        <v>121</v>
      </c>
      <c r="H805" s="97" t="s">
        <v>105</v>
      </c>
      <c r="I805" s="86" t="s">
        <v>227</v>
      </c>
      <c r="J805" s="86" t="s">
        <v>844</v>
      </c>
      <c r="K805" s="86" t="s">
        <v>303</v>
      </c>
      <c r="L805" s="87" t="s">
        <v>304</v>
      </c>
    </row>
    <row r="806" spans="1:12" s="90" customFormat="1" ht="12.75" customHeight="1">
      <c r="A806" s="99" t="s">
        <v>23</v>
      </c>
      <c r="B806" s="100" t="s">
        <v>108</v>
      </c>
      <c r="C806" s="101"/>
      <c r="D806" s="101"/>
      <c r="E806" s="101"/>
      <c r="F806" s="102"/>
      <c r="G806" s="99" t="s">
        <v>23</v>
      </c>
      <c r="H806" s="100" t="s">
        <v>129</v>
      </c>
      <c r="I806" s="101">
        <f>SUM(I807:I811)</f>
        <v>4619467</v>
      </c>
      <c r="J806" s="101">
        <f>SUM(J807:J811)</f>
        <v>4619467</v>
      </c>
      <c r="K806" s="101">
        <f>SUM(K807:K811)</f>
        <v>4229160</v>
      </c>
      <c r="L806" s="102">
        <f>+K806/J806</f>
        <v>0.9155082177229538</v>
      </c>
    </row>
    <row r="807" spans="1:12" s="90" customFormat="1" ht="12.75" customHeight="1">
      <c r="A807" s="99" t="s">
        <v>111</v>
      </c>
      <c r="B807" s="116" t="s">
        <v>209</v>
      </c>
      <c r="C807" s="106"/>
      <c r="D807" s="106"/>
      <c r="E807" s="106"/>
      <c r="F807" s="599"/>
      <c r="G807" s="99" t="s">
        <v>111</v>
      </c>
      <c r="H807" s="116" t="s">
        <v>80</v>
      </c>
      <c r="I807" s="106">
        <v>3655011</v>
      </c>
      <c r="J807" s="106">
        <v>3655011</v>
      </c>
      <c r="K807" s="106">
        <v>3621522</v>
      </c>
      <c r="L807" s="599">
        <f>+K807/J807</f>
        <v>0.9908375104753446</v>
      </c>
    </row>
    <row r="808" spans="1:12" s="90" customFormat="1" ht="12.75" customHeight="1">
      <c r="A808" s="99"/>
      <c r="B808" s="116" t="s">
        <v>210</v>
      </c>
      <c r="C808" s="106"/>
      <c r="D808" s="106"/>
      <c r="E808" s="106"/>
      <c r="F808" s="599"/>
      <c r="G808" s="99" t="s">
        <v>112</v>
      </c>
      <c r="H808" s="116" t="s">
        <v>147</v>
      </c>
      <c r="I808" s="106">
        <v>841647</v>
      </c>
      <c r="J808" s="106">
        <v>841647</v>
      </c>
      <c r="K808" s="106">
        <v>607638</v>
      </c>
      <c r="L808" s="599">
        <f>+K808/J808</f>
        <v>0.7219630082445491</v>
      </c>
    </row>
    <row r="809" spans="1:12" s="90" customFormat="1" ht="12.75" customHeight="1">
      <c r="A809" s="99" t="s">
        <v>112</v>
      </c>
      <c r="B809" s="116" t="s">
        <v>9</v>
      </c>
      <c r="C809" s="106"/>
      <c r="D809" s="106"/>
      <c r="E809" s="106"/>
      <c r="F809" s="599"/>
      <c r="G809" s="99" t="s">
        <v>113</v>
      </c>
      <c r="H809" s="116" t="s">
        <v>83</v>
      </c>
      <c r="I809" s="106">
        <f>182245-59436</f>
        <v>122809</v>
      </c>
      <c r="J809" s="106">
        <f>182245-59436</f>
        <v>122809</v>
      </c>
      <c r="K809" s="106">
        <v>0</v>
      </c>
      <c r="L809" s="599">
        <f>+K809/J809+IF(L809=0/0,0%)</f>
        <v>0</v>
      </c>
    </row>
    <row r="810" spans="1:12" s="90" customFormat="1" ht="12.75" customHeight="1">
      <c r="A810" s="99" t="s">
        <v>113</v>
      </c>
      <c r="B810" s="116" t="s">
        <v>170</v>
      </c>
      <c r="C810" s="106"/>
      <c r="D810" s="106"/>
      <c r="E810" s="106"/>
      <c r="F810" s="599"/>
      <c r="G810" s="99" t="s">
        <v>114</v>
      </c>
      <c r="H810" s="116" t="s">
        <v>84</v>
      </c>
      <c r="I810" s="106"/>
      <c r="J810" s="106"/>
      <c r="K810" s="106"/>
      <c r="L810" s="599"/>
    </row>
    <row r="811" spans="1:12" s="90" customFormat="1" ht="12.75" customHeight="1">
      <c r="A811" s="99" t="s">
        <v>114</v>
      </c>
      <c r="B811" s="116" t="s">
        <v>181</v>
      </c>
      <c r="C811" s="106"/>
      <c r="D811" s="106"/>
      <c r="E811" s="106"/>
      <c r="F811" s="599"/>
      <c r="G811" s="99" t="s">
        <v>115</v>
      </c>
      <c r="H811" s="116" t="s">
        <v>211</v>
      </c>
      <c r="I811" s="106"/>
      <c r="J811" s="106"/>
      <c r="K811" s="106"/>
      <c r="L811" s="599"/>
    </row>
    <row r="812" spans="1:12" s="90" customFormat="1" ht="12.75" customHeight="1">
      <c r="A812" s="112" t="s">
        <v>45</v>
      </c>
      <c r="B812" s="100" t="s">
        <v>118</v>
      </c>
      <c r="C812" s="101"/>
      <c r="D812" s="101"/>
      <c r="E812" s="101"/>
      <c r="F812" s="102"/>
      <c r="G812" s="112" t="s">
        <v>45</v>
      </c>
      <c r="H812" s="100" t="s">
        <v>130</v>
      </c>
      <c r="I812" s="101"/>
      <c r="J812" s="101"/>
      <c r="K812" s="101"/>
      <c r="L812" s="102"/>
    </row>
    <row r="813" spans="1:12" s="90" customFormat="1" ht="12.75" customHeight="1">
      <c r="A813" s="112" t="s">
        <v>111</v>
      </c>
      <c r="B813" s="100" t="s">
        <v>106</v>
      </c>
      <c r="C813" s="106"/>
      <c r="D813" s="106"/>
      <c r="E813" s="106"/>
      <c r="F813" s="599"/>
      <c r="G813" s="112" t="s">
        <v>111</v>
      </c>
      <c r="H813" s="100" t="s">
        <v>131</v>
      </c>
      <c r="I813" s="106"/>
      <c r="J813" s="106"/>
      <c r="K813" s="106"/>
      <c r="L813" s="599"/>
    </row>
    <row r="814" spans="1:12" s="90" customFormat="1" ht="12.75" customHeight="1">
      <c r="A814" s="112" t="s">
        <v>112</v>
      </c>
      <c r="B814" s="100" t="s">
        <v>39</v>
      </c>
      <c r="C814" s="106"/>
      <c r="D814" s="106"/>
      <c r="E814" s="106"/>
      <c r="F814" s="599"/>
      <c r="G814" s="112" t="s">
        <v>112</v>
      </c>
      <c r="H814" s="100" t="s">
        <v>87</v>
      </c>
      <c r="I814" s="106"/>
      <c r="J814" s="106"/>
      <c r="K814" s="106"/>
      <c r="L814" s="599"/>
    </row>
    <row r="815" spans="1:12" s="90" customFormat="1" ht="12.75" customHeight="1">
      <c r="A815" s="112" t="s">
        <v>113</v>
      </c>
      <c r="B815" s="100" t="s">
        <v>201</v>
      </c>
      <c r="C815" s="106"/>
      <c r="D815" s="106"/>
      <c r="E815" s="106"/>
      <c r="F815" s="599"/>
      <c r="G815" s="112" t="s">
        <v>113</v>
      </c>
      <c r="H815" s="100" t="s">
        <v>90</v>
      </c>
      <c r="I815" s="106"/>
      <c r="J815" s="106"/>
      <c r="K815" s="106"/>
      <c r="L815" s="599"/>
    </row>
    <row r="816" spans="1:12" s="90" customFormat="1" ht="12.75" customHeight="1">
      <c r="A816" s="112" t="s">
        <v>56</v>
      </c>
      <c r="B816" s="100" t="s">
        <v>126</v>
      </c>
      <c r="C816" s="101">
        <v>4619467</v>
      </c>
      <c r="D816" s="101">
        <v>4619467</v>
      </c>
      <c r="E816" s="101">
        <v>4619467</v>
      </c>
      <c r="F816" s="102">
        <v>1</v>
      </c>
      <c r="G816" s="112" t="s">
        <v>56</v>
      </c>
      <c r="H816" s="100" t="s">
        <v>132</v>
      </c>
      <c r="I816" s="101"/>
      <c r="J816" s="101"/>
      <c r="K816" s="101"/>
      <c r="L816" s="102"/>
    </row>
    <row r="817" spans="1:12" s="90" customFormat="1" ht="12.75" customHeight="1">
      <c r="A817" s="99" t="s">
        <v>64</v>
      </c>
      <c r="B817" s="116" t="s">
        <v>127</v>
      </c>
      <c r="C817" s="101"/>
      <c r="D817" s="101"/>
      <c r="E817" s="101"/>
      <c r="F817" s="102"/>
      <c r="G817" s="99" t="s">
        <v>64</v>
      </c>
      <c r="H817" s="116" t="s">
        <v>133</v>
      </c>
      <c r="I817" s="101"/>
      <c r="J817" s="101"/>
      <c r="K817" s="101"/>
      <c r="L817" s="102"/>
    </row>
    <row r="818" spans="1:12" s="124" customFormat="1" ht="12.75" customHeight="1" thickBot="1">
      <c r="A818" s="117"/>
      <c r="B818" s="118" t="s">
        <v>148</v>
      </c>
      <c r="C818" s="88">
        <f>+C806+C812+C816+C817</f>
        <v>4619467</v>
      </c>
      <c r="D818" s="88">
        <f>+D806+D812+D816+D817</f>
        <v>4619467</v>
      </c>
      <c r="E818" s="88">
        <f>+E806+E812+E816+E817</f>
        <v>4619467</v>
      </c>
      <c r="F818" s="119">
        <f>+E818/D818</f>
        <v>1</v>
      </c>
      <c r="G818" s="117"/>
      <c r="H818" s="118" t="s">
        <v>149</v>
      </c>
      <c r="I818" s="88">
        <f>I806+I812+I816+I817</f>
        <v>4619467</v>
      </c>
      <c r="J818" s="88">
        <f>J806+J812+J816+J817</f>
        <v>4619467</v>
      </c>
      <c r="K818" s="88">
        <f>K806+K812+K816+K817</f>
        <v>4229160</v>
      </c>
      <c r="L818" s="119">
        <f>+K818/J818</f>
        <v>0.9155082177229538</v>
      </c>
    </row>
    <row r="819" spans="1:12" s="126" customFormat="1" ht="12.75" customHeight="1">
      <c r="A819" s="124"/>
      <c r="B819" s="124"/>
      <c r="C819" s="93"/>
      <c r="D819" s="93"/>
      <c r="E819" s="93"/>
      <c r="F819" s="93"/>
      <c r="G819" s="124"/>
      <c r="H819" s="124"/>
      <c r="I819" s="93"/>
      <c r="J819" s="93"/>
      <c r="K819" s="93"/>
      <c r="L819" s="93"/>
    </row>
    <row r="820" spans="1:12" s="90" customFormat="1" ht="12.75" customHeight="1" thickBot="1">
      <c r="A820" s="90" t="s">
        <v>273</v>
      </c>
      <c r="B820" s="124"/>
      <c r="E820" s="638"/>
      <c r="F820" s="638"/>
      <c r="G820" s="124"/>
      <c r="H820" s="124"/>
      <c r="I820" s="595"/>
      <c r="J820" s="595"/>
      <c r="K820" s="638"/>
      <c r="L820" s="596" t="s">
        <v>216</v>
      </c>
    </row>
    <row r="821" spans="1:12" s="90" customFormat="1" ht="24.75" customHeight="1">
      <c r="A821" s="96"/>
      <c r="B821" s="97" t="s">
        <v>104</v>
      </c>
      <c r="C821" s="86" t="s">
        <v>227</v>
      </c>
      <c r="D821" s="86" t="s">
        <v>844</v>
      </c>
      <c r="E821" s="86" t="s">
        <v>303</v>
      </c>
      <c r="F821" s="87" t="s">
        <v>304</v>
      </c>
      <c r="G821" s="96">
        <v>65</v>
      </c>
      <c r="H821" s="97" t="s">
        <v>105</v>
      </c>
      <c r="I821" s="86" t="s">
        <v>227</v>
      </c>
      <c r="J821" s="86" t="s">
        <v>844</v>
      </c>
      <c r="K821" s="86" t="s">
        <v>303</v>
      </c>
      <c r="L821" s="87" t="s">
        <v>304</v>
      </c>
    </row>
    <row r="822" spans="1:12" s="90" customFormat="1" ht="12.75" customHeight="1">
      <c r="A822" s="99" t="s">
        <v>23</v>
      </c>
      <c r="B822" s="100" t="s">
        <v>108</v>
      </c>
      <c r="C822" s="101"/>
      <c r="D822" s="101"/>
      <c r="E822" s="101"/>
      <c r="F822" s="102"/>
      <c r="G822" s="99" t="s">
        <v>23</v>
      </c>
      <c r="H822" s="100" t="s">
        <v>129</v>
      </c>
      <c r="I822" s="101">
        <f>SUM(I823:I827)</f>
        <v>1037333</v>
      </c>
      <c r="J822" s="101">
        <f>SUM(J823:J827)</f>
        <v>1037333</v>
      </c>
      <c r="K822" s="101">
        <f>SUM(K823:K827)</f>
        <v>917415</v>
      </c>
      <c r="L822" s="102">
        <f>+K822/J822</f>
        <v>0.8843977777627821</v>
      </c>
    </row>
    <row r="823" spans="1:12" s="90" customFormat="1" ht="12.75" customHeight="1">
      <c r="A823" s="99" t="s">
        <v>111</v>
      </c>
      <c r="B823" s="116" t="s">
        <v>209</v>
      </c>
      <c r="C823" s="106"/>
      <c r="D823" s="106"/>
      <c r="E823" s="106"/>
      <c r="F823" s="599"/>
      <c r="G823" s="99" t="s">
        <v>111</v>
      </c>
      <c r="H823" s="116" t="s">
        <v>80</v>
      </c>
      <c r="I823" s="106">
        <v>790547</v>
      </c>
      <c r="J823" s="106">
        <v>790520</v>
      </c>
      <c r="K823" s="106">
        <v>790520</v>
      </c>
      <c r="L823" s="599">
        <f>+K823/J823</f>
        <v>1</v>
      </c>
    </row>
    <row r="824" spans="1:12" s="90" customFormat="1" ht="12.75" customHeight="1">
      <c r="A824" s="99"/>
      <c r="B824" s="116" t="s">
        <v>210</v>
      </c>
      <c r="C824" s="106"/>
      <c r="D824" s="106"/>
      <c r="E824" s="106"/>
      <c r="F824" s="599"/>
      <c r="G824" s="99" t="s">
        <v>112</v>
      </c>
      <c r="H824" s="116" t="s">
        <v>147</v>
      </c>
      <c r="I824" s="106">
        <v>131786</v>
      </c>
      <c r="J824" s="106">
        <v>126895</v>
      </c>
      <c r="K824" s="106">
        <v>126895</v>
      </c>
      <c r="L824" s="599">
        <f>+K824/J824</f>
        <v>1</v>
      </c>
    </row>
    <row r="825" spans="1:12" s="90" customFormat="1" ht="12.75" customHeight="1">
      <c r="A825" s="99" t="s">
        <v>112</v>
      </c>
      <c r="B825" s="116" t="s">
        <v>9</v>
      </c>
      <c r="C825" s="106"/>
      <c r="D825" s="106"/>
      <c r="E825" s="106"/>
      <c r="F825" s="599"/>
      <c r="G825" s="99" t="s">
        <v>113</v>
      </c>
      <c r="H825" s="116" t="s">
        <v>83</v>
      </c>
      <c r="I825" s="106">
        <v>115000</v>
      </c>
      <c r="J825" s="106">
        <v>0</v>
      </c>
      <c r="K825" s="106">
        <v>0</v>
      </c>
      <c r="L825" s="599"/>
    </row>
    <row r="826" spans="1:12" s="90" customFormat="1" ht="12.75" customHeight="1">
      <c r="A826" s="99" t="s">
        <v>113</v>
      </c>
      <c r="B826" s="116" t="s">
        <v>170</v>
      </c>
      <c r="C826" s="106"/>
      <c r="D826" s="106"/>
      <c r="E826" s="106"/>
      <c r="F826" s="599"/>
      <c r="G826" s="99" t="s">
        <v>114</v>
      </c>
      <c r="H826" s="116" t="s">
        <v>84</v>
      </c>
      <c r="I826" s="106"/>
      <c r="J826" s="106"/>
      <c r="K826" s="106"/>
      <c r="L826" s="599"/>
    </row>
    <row r="827" spans="1:12" s="90" customFormat="1" ht="12.75" customHeight="1">
      <c r="A827" s="99" t="s">
        <v>114</v>
      </c>
      <c r="B827" s="116" t="s">
        <v>181</v>
      </c>
      <c r="C827" s="106"/>
      <c r="D827" s="106"/>
      <c r="E827" s="106"/>
      <c r="F827" s="599"/>
      <c r="G827" s="99" t="s">
        <v>115</v>
      </c>
      <c r="H827" s="116" t="s">
        <v>211</v>
      </c>
      <c r="I827" s="106"/>
      <c r="J827" s="106">
        <v>119918</v>
      </c>
      <c r="K827" s="106">
        <v>0</v>
      </c>
      <c r="L827" s="599">
        <f>+K827/J827</f>
        <v>0</v>
      </c>
    </row>
    <row r="828" spans="1:12" s="90" customFormat="1" ht="12.75" customHeight="1">
      <c r="A828" s="112" t="s">
        <v>45</v>
      </c>
      <c r="B828" s="100" t="s">
        <v>118</v>
      </c>
      <c r="C828" s="101"/>
      <c r="D828" s="101"/>
      <c r="E828" s="101"/>
      <c r="F828" s="102"/>
      <c r="G828" s="112" t="s">
        <v>45</v>
      </c>
      <c r="H828" s="100" t="s">
        <v>130</v>
      </c>
      <c r="I828" s="101"/>
      <c r="J828" s="101"/>
      <c r="K828" s="101"/>
      <c r="L828" s="102"/>
    </row>
    <row r="829" spans="1:12" s="90" customFormat="1" ht="12.75" customHeight="1">
      <c r="A829" s="112" t="s">
        <v>111</v>
      </c>
      <c r="B829" s="100" t="s">
        <v>106</v>
      </c>
      <c r="C829" s="106"/>
      <c r="D829" s="106"/>
      <c r="E829" s="106"/>
      <c r="F829" s="599"/>
      <c r="G829" s="112" t="s">
        <v>111</v>
      </c>
      <c r="H829" s="100" t="s">
        <v>131</v>
      </c>
      <c r="I829" s="106"/>
      <c r="J829" s="106"/>
      <c r="K829" s="106"/>
      <c r="L829" s="599"/>
    </row>
    <row r="830" spans="1:12" s="90" customFormat="1" ht="12.75" customHeight="1">
      <c r="A830" s="112" t="s">
        <v>112</v>
      </c>
      <c r="B830" s="100" t="s">
        <v>39</v>
      </c>
      <c r="C830" s="106"/>
      <c r="D830" s="106"/>
      <c r="E830" s="106"/>
      <c r="F830" s="599"/>
      <c r="G830" s="112" t="s">
        <v>112</v>
      </c>
      <c r="H830" s="100" t="s">
        <v>87</v>
      </c>
      <c r="I830" s="106"/>
      <c r="J830" s="106"/>
      <c r="K830" s="106"/>
      <c r="L830" s="599"/>
    </row>
    <row r="831" spans="1:12" s="90" customFormat="1" ht="12.75" customHeight="1">
      <c r="A831" s="112" t="s">
        <v>113</v>
      </c>
      <c r="B831" s="100" t="s">
        <v>201</v>
      </c>
      <c r="C831" s="106"/>
      <c r="D831" s="106"/>
      <c r="E831" s="106"/>
      <c r="F831" s="599"/>
      <c r="G831" s="112" t="s">
        <v>113</v>
      </c>
      <c r="H831" s="100" t="s">
        <v>90</v>
      </c>
      <c r="I831" s="106"/>
      <c r="J831" s="106"/>
      <c r="K831" s="106"/>
      <c r="L831" s="599"/>
    </row>
    <row r="832" spans="1:12" s="90" customFormat="1" ht="12.75" customHeight="1">
      <c r="A832" s="112" t="s">
        <v>56</v>
      </c>
      <c r="B832" s="100" t="s">
        <v>126</v>
      </c>
      <c r="C832" s="101">
        <v>1037333</v>
      </c>
      <c r="D832" s="101">
        <v>1037333</v>
      </c>
      <c r="E832" s="101">
        <v>1037333</v>
      </c>
      <c r="F832" s="102">
        <f>+E832/D832</f>
        <v>1</v>
      </c>
      <c r="G832" s="112" t="s">
        <v>56</v>
      </c>
      <c r="H832" s="100" t="s">
        <v>132</v>
      </c>
      <c r="I832" s="101"/>
      <c r="J832" s="101"/>
      <c r="K832" s="101"/>
      <c r="L832" s="102"/>
    </row>
    <row r="833" spans="1:12" s="90" customFormat="1" ht="12.75" customHeight="1">
      <c r="A833" s="99" t="s">
        <v>64</v>
      </c>
      <c r="B833" s="116" t="s">
        <v>127</v>
      </c>
      <c r="C833" s="101"/>
      <c r="D833" s="101"/>
      <c r="E833" s="101"/>
      <c r="F833" s="102"/>
      <c r="G833" s="99" t="s">
        <v>64</v>
      </c>
      <c r="H833" s="116" t="s">
        <v>133</v>
      </c>
      <c r="I833" s="101"/>
      <c r="J833" s="101"/>
      <c r="K833" s="101"/>
      <c r="L833" s="102"/>
    </row>
    <row r="834" spans="1:12" s="124" customFormat="1" ht="12.75" customHeight="1" thickBot="1">
      <c r="A834" s="117"/>
      <c r="B834" s="118" t="s">
        <v>148</v>
      </c>
      <c r="C834" s="88">
        <f>+C822+C828+C832+C833</f>
        <v>1037333</v>
      </c>
      <c r="D834" s="88">
        <f>+D822+D828+D832+D833</f>
        <v>1037333</v>
      </c>
      <c r="E834" s="88">
        <f>+E822+E828+E832+E833</f>
        <v>1037333</v>
      </c>
      <c r="F834" s="119">
        <f>+E834/D834</f>
        <v>1</v>
      </c>
      <c r="G834" s="117"/>
      <c r="H834" s="118" t="s">
        <v>149</v>
      </c>
      <c r="I834" s="88">
        <f>I822+I828+I832+I833</f>
        <v>1037333</v>
      </c>
      <c r="J834" s="88">
        <f>J822+J828+J832+J833</f>
        <v>1037333</v>
      </c>
      <c r="K834" s="88">
        <f>K822+K828+K832+K833</f>
        <v>917415</v>
      </c>
      <c r="L834" s="119">
        <f>+K834/J834</f>
        <v>0.8843977777627821</v>
      </c>
    </row>
    <row r="835" spans="1:12" s="126" customFormat="1" ht="12.75" customHeight="1">
      <c r="A835" s="124"/>
      <c r="B835" s="124"/>
      <c r="C835" s="93"/>
      <c r="D835" s="93"/>
      <c r="E835" s="595"/>
      <c r="F835" s="595"/>
      <c r="G835" s="124"/>
      <c r="H835" s="124"/>
      <c r="I835" s="93"/>
      <c r="J835" s="93"/>
      <c r="K835" s="595"/>
      <c r="L835" s="595"/>
    </row>
    <row r="836" spans="1:12" s="90" customFormat="1" ht="12.75" customHeight="1" thickBot="1">
      <c r="A836" s="90" t="s">
        <v>260</v>
      </c>
      <c r="B836" s="124"/>
      <c r="E836" s="93"/>
      <c r="F836" s="93"/>
      <c r="G836" s="124"/>
      <c r="H836" s="124"/>
      <c r="I836" s="595"/>
      <c r="J836" s="595"/>
      <c r="K836" s="93"/>
      <c r="L836" s="596" t="s">
        <v>216</v>
      </c>
    </row>
    <row r="837" spans="1:12" s="90" customFormat="1" ht="24.75" customHeight="1">
      <c r="A837" s="96"/>
      <c r="B837" s="97" t="s">
        <v>104</v>
      </c>
      <c r="C837" s="86" t="s">
        <v>227</v>
      </c>
      <c r="D837" s="86" t="s">
        <v>844</v>
      </c>
      <c r="E837" s="86" t="s">
        <v>303</v>
      </c>
      <c r="F837" s="87" t="s">
        <v>304</v>
      </c>
      <c r="G837" s="96">
        <v>66</v>
      </c>
      <c r="H837" s="97" t="s">
        <v>105</v>
      </c>
      <c r="I837" s="86" t="s">
        <v>227</v>
      </c>
      <c r="J837" s="86" t="s">
        <v>844</v>
      </c>
      <c r="K837" s="86" t="s">
        <v>303</v>
      </c>
      <c r="L837" s="87" t="s">
        <v>304</v>
      </c>
    </row>
    <row r="838" spans="1:12" s="90" customFormat="1" ht="12.75" customHeight="1">
      <c r="A838" s="99" t="s">
        <v>23</v>
      </c>
      <c r="B838" s="100" t="s">
        <v>108</v>
      </c>
      <c r="C838" s="101"/>
      <c r="D838" s="101"/>
      <c r="E838" s="101"/>
      <c r="F838" s="102"/>
      <c r="G838" s="99" t="s">
        <v>23</v>
      </c>
      <c r="H838" s="100" t="s">
        <v>129</v>
      </c>
      <c r="I838" s="101">
        <f>SUM(I839:I843)</f>
        <v>353207</v>
      </c>
      <c r="J838" s="101">
        <f>SUM(J839:J843)</f>
        <v>353208</v>
      </c>
      <c r="K838" s="101">
        <f>SUM(K839:K843)</f>
        <v>353208</v>
      </c>
      <c r="L838" s="102">
        <f>+K838/J838</f>
        <v>1</v>
      </c>
    </row>
    <row r="839" spans="1:12" s="90" customFormat="1" ht="12.75" customHeight="1">
      <c r="A839" s="99" t="s">
        <v>111</v>
      </c>
      <c r="B839" s="116" t="s">
        <v>209</v>
      </c>
      <c r="C839" s="106"/>
      <c r="D839" s="106"/>
      <c r="E839" s="106"/>
      <c r="F839" s="599"/>
      <c r="G839" s="99" t="s">
        <v>111</v>
      </c>
      <c r="H839" s="116" t="s">
        <v>80</v>
      </c>
      <c r="I839" s="106"/>
      <c r="J839" s="106"/>
      <c r="K839" s="106"/>
      <c r="L839" s="599"/>
    </row>
    <row r="840" spans="1:12" s="90" customFormat="1" ht="12.75" customHeight="1">
      <c r="A840" s="99"/>
      <c r="B840" s="116" t="s">
        <v>210</v>
      </c>
      <c r="C840" s="106"/>
      <c r="D840" s="106"/>
      <c r="E840" s="106"/>
      <c r="F840" s="599"/>
      <c r="G840" s="99" t="s">
        <v>112</v>
      </c>
      <c r="H840" s="116" t="s">
        <v>147</v>
      </c>
      <c r="I840" s="106"/>
      <c r="J840" s="106"/>
      <c r="K840" s="106"/>
      <c r="L840" s="599"/>
    </row>
    <row r="841" spans="1:12" s="90" customFormat="1" ht="12.75" customHeight="1">
      <c r="A841" s="99" t="s">
        <v>112</v>
      </c>
      <c r="B841" s="116" t="s">
        <v>9</v>
      </c>
      <c r="C841" s="106"/>
      <c r="D841" s="106"/>
      <c r="E841" s="106"/>
      <c r="F841" s="599"/>
      <c r="G841" s="99" t="s">
        <v>113</v>
      </c>
      <c r="H841" s="116" t="s">
        <v>83</v>
      </c>
      <c r="I841" s="106"/>
      <c r="J841" s="106"/>
      <c r="K841" s="106"/>
      <c r="L841" s="599"/>
    </row>
    <row r="842" spans="1:12" s="90" customFormat="1" ht="12.75" customHeight="1">
      <c r="A842" s="99" t="s">
        <v>113</v>
      </c>
      <c r="B842" s="116" t="s">
        <v>170</v>
      </c>
      <c r="C842" s="106"/>
      <c r="D842" s="106"/>
      <c r="E842" s="106"/>
      <c r="F842" s="599"/>
      <c r="G842" s="99" t="s">
        <v>114</v>
      </c>
      <c r="H842" s="116" t="s">
        <v>84</v>
      </c>
      <c r="I842" s="106"/>
      <c r="J842" s="106"/>
      <c r="K842" s="106"/>
      <c r="L842" s="599"/>
    </row>
    <row r="843" spans="1:12" s="90" customFormat="1" ht="12.75" customHeight="1">
      <c r="A843" s="99" t="s">
        <v>114</v>
      </c>
      <c r="B843" s="116" t="s">
        <v>181</v>
      </c>
      <c r="C843" s="106"/>
      <c r="D843" s="106"/>
      <c r="E843" s="106"/>
      <c r="F843" s="599"/>
      <c r="G843" s="99" t="s">
        <v>115</v>
      </c>
      <c r="H843" s="116" t="s">
        <v>211</v>
      </c>
      <c r="I843" s="106">
        <v>353207</v>
      </c>
      <c r="J843" s="106">
        <v>353208</v>
      </c>
      <c r="K843" s="106">
        <v>353208</v>
      </c>
      <c r="L843" s="599">
        <f>+K843/J843</f>
        <v>1</v>
      </c>
    </row>
    <row r="844" spans="1:12" s="90" customFormat="1" ht="12.75" customHeight="1">
      <c r="A844" s="112" t="s">
        <v>45</v>
      </c>
      <c r="B844" s="100" t="s">
        <v>118</v>
      </c>
      <c r="C844" s="101"/>
      <c r="D844" s="101"/>
      <c r="E844" s="101"/>
      <c r="F844" s="102"/>
      <c r="G844" s="112" t="s">
        <v>45</v>
      </c>
      <c r="H844" s="100" t="s">
        <v>130</v>
      </c>
      <c r="I844" s="101"/>
      <c r="J844" s="101"/>
      <c r="K844" s="101"/>
      <c r="L844" s="102"/>
    </row>
    <row r="845" spans="1:12" s="90" customFormat="1" ht="12.75" customHeight="1">
      <c r="A845" s="112" t="s">
        <v>111</v>
      </c>
      <c r="B845" s="100" t="s">
        <v>106</v>
      </c>
      <c r="C845" s="106"/>
      <c r="D845" s="106"/>
      <c r="E845" s="106"/>
      <c r="F845" s="599"/>
      <c r="G845" s="112" t="s">
        <v>111</v>
      </c>
      <c r="H845" s="100" t="s">
        <v>131</v>
      </c>
      <c r="I845" s="106"/>
      <c r="J845" s="106"/>
      <c r="K845" s="106"/>
      <c r="L845" s="599"/>
    </row>
    <row r="846" spans="1:12" s="90" customFormat="1" ht="12.75" customHeight="1">
      <c r="A846" s="112" t="s">
        <v>112</v>
      </c>
      <c r="B846" s="100" t="s">
        <v>39</v>
      </c>
      <c r="C846" s="106"/>
      <c r="D846" s="106"/>
      <c r="E846" s="106"/>
      <c r="F846" s="599"/>
      <c r="G846" s="112" t="s">
        <v>112</v>
      </c>
      <c r="H846" s="100" t="s">
        <v>87</v>
      </c>
      <c r="I846" s="106"/>
      <c r="J846" s="106"/>
      <c r="K846" s="106"/>
      <c r="L846" s="599"/>
    </row>
    <row r="847" spans="1:12" s="90" customFormat="1" ht="12.75" customHeight="1">
      <c r="A847" s="112" t="s">
        <v>113</v>
      </c>
      <c r="B847" s="100" t="s">
        <v>201</v>
      </c>
      <c r="C847" s="106"/>
      <c r="D847" s="106"/>
      <c r="E847" s="106"/>
      <c r="F847" s="599"/>
      <c r="G847" s="112" t="s">
        <v>113</v>
      </c>
      <c r="H847" s="100" t="s">
        <v>90</v>
      </c>
      <c r="I847" s="106"/>
      <c r="J847" s="106"/>
      <c r="K847" s="106"/>
      <c r="L847" s="599"/>
    </row>
    <row r="848" spans="1:12" s="90" customFormat="1" ht="12.75" customHeight="1">
      <c r="A848" s="112" t="s">
        <v>56</v>
      </c>
      <c r="B848" s="100" t="s">
        <v>126</v>
      </c>
      <c r="C848" s="101">
        <v>353207</v>
      </c>
      <c r="D848" s="101">
        <v>353208</v>
      </c>
      <c r="E848" s="101">
        <v>353207</v>
      </c>
      <c r="F848" s="102">
        <f>+E848/D848</f>
        <v>0.9999971688070486</v>
      </c>
      <c r="G848" s="112" t="s">
        <v>56</v>
      </c>
      <c r="H848" s="100" t="s">
        <v>132</v>
      </c>
      <c r="I848" s="101"/>
      <c r="J848" s="101"/>
      <c r="K848" s="101"/>
      <c r="L848" s="102"/>
    </row>
    <row r="849" spans="1:12" s="90" customFormat="1" ht="12.75" customHeight="1">
      <c r="A849" s="99" t="s">
        <v>64</v>
      </c>
      <c r="B849" s="116" t="s">
        <v>127</v>
      </c>
      <c r="C849" s="101"/>
      <c r="D849" s="101"/>
      <c r="E849" s="101"/>
      <c r="F849" s="102"/>
      <c r="G849" s="99" t="s">
        <v>64</v>
      </c>
      <c r="H849" s="116" t="s">
        <v>133</v>
      </c>
      <c r="I849" s="101"/>
      <c r="J849" s="101"/>
      <c r="K849" s="101"/>
      <c r="L849" s="102"/>
    </row>
    <row r="850" spans="1:12" s="124" customFormat="1" ht="12.75" customHeight="1" thickBot="1">
      <c r="A850" s="117"/>
      <c r="B850" s="118" t="s">
        <v>148</v>
      </c>
      <c r="C850" s="88">
        <f>+C838+C844+C848+C849</f>
        <v>353207</v>
      </c>
      <c r="D850" s="88">
        <f>+D838+D844+D848+D849</f>
        <v>353208</v>
      </c>
      <c r="E850" s="88">
        <f>+E838+E844+E848+E849</f>
        <v>353207</v>
      </c>
      <c r="F850" s="119">
        <f>+E850/D850</f>
        <v>0.9999971688070486</v>
      </c>
      <c r="G850" s="117"/>
      <c r="H850" s="118" t="s">
        <v>149</v>
      </c>
      <c r="I850" s="88">
        <f>I838+I844+I848+I849</f>
        <v>353207</v>
      </c>
      <c r="J850" s="88">
        <f>J838+J844+J848+J849</f>
        <v>353208</v>
      </c>
      <c r="K850" s="88">
        <f>K838+K844+K848+K849</f>
        <v>353208</v>
      </c>
      <c r="L850" s="119">
        <f>+K850/J850</f>
        <v>1</v>
      </c>
    </row>
    <row r="851" spans="1:12" s="126" customFormat="1" ht="12.75" customHeight="1">
      <c r="A851" s="124"/>
      <c r="B851" s="124"/>
      <c r="C851" s="93"/>
      <c r="D851" s="93"/>
      <c r="E851" s="93"/>
      <c r="F851" s="93"/>
      <c r="G851" s="124"/>
      <c r="H851" s="124"/>
      <c r="I851" s="93"/>
      <c r="J851" s="93"/>
      <c r="K851" s="93"/>
      <c r="L851" s="93"/>
    </row>
    <row r="852" spans="1:12" s="90" customFormat="1" ht="12.75" customHeight="1" thickBot="1">
      <c r="A852" s="90" t="s">
        <v>277</v>
      </c>
      <c r="B852" s="124"/>
      <c r="E852" s="93"/>
      <c r="F852" s="93"/>
      <c r="G852" s="124"/>
      <c r="H852" s="124"/>
      <c r="I852" s="595"/>
      <c r="J852" s="595"/>
      <c r="K852" s="93"/>
      <c r="L852" s="596" t="s">
        <v>216</v>
      </c>
    </row>
    <row r="853" spans="1:12" s="90" customFormat="1" ht="24.75" customHeight="1">
      <c r="A853" s="96"/>
      <c r="B853" s="97" t="s">
        <v>104</v>
      </c>
      <c r="C853" s="86" t="s">
        <v>227</v>
      </c>
      <c r="D853" s="86" t="s">
        <v>844</v>
      </c>
      <c r="E853" s="86" t="s">
        <v>303</v>
      </c>
      <c r="F853" s="87" t="s">
        <v>304</v>
      </c>
      <c r="G853" s="96">
        <v>67</v>
      </c>
      <c r="H853" s="97" t="s">
        <v>105</v>
      </c>
      <c r="I853" s="86" t="s">
        <v>227</v>
      </c>
      <c r="J853" s="86" t="s">
        <v>844</v>
      </c>
      <c r="K853" s="86" t="s">
        <v>303</v>
      </c>
      <c r="L853" s="87" t="s">
        <v>304</v>
      </c>
    </row>
    <row r="854" spans="1:12" s="90" customFormat="1" ht="12.75" customHeight="1">
      <c r="A854" s="99" t="s">
        <v>23</v>
      </c>
      <c r="B854" s="100" t="s">
        <v>108</v>
      </c>
      <c r="C854" s="101"/>
      <c r="D854" s="101"/>
      <c r="E854" s="101"/>
      <c r="F854" s="102"/>
      <c r="G854" s="99" t="s">
        <v>23</v>
      </c>
      <c r="H854" s="100" t="s">
        <v>129</v>
      </c>
      <c r="I854" s="101">
        <f>SUM(I855:I859)</f>
        <v>2276462</v>
      </c>
      <c r="J854" s="101">
        <f>SUM(J855:J859)</f>
        <v>2276462</v>
      </c>
      <c r="K854" s="101">
        <f>SUM(K855:K859)</f>
        <v>2276462</v>
      </c>
      <c r="L854" s="102">
        <f>+K854/J854</f>
        <v>1</v>
      </c>
    </row>
    <row r="855" spans="1:12" s="90" customFormat="1" ht="12.75" customHeight="1">
      <c r="A855" s="99" t="s">
        <v>111</v>
      </c>
      <c r="B855" s="116" t="s">
        <v>209</v>
      </c>
      <c r="C855" s="106"/>
      <c r="D855" s="106"/>
      <c r="E855" s="106"/>
      <c r="F855" s="599"/>
      <c r="G855" s="99" t="s">
        <v>111</v>
      </c>
      <c r="H855" s="116" t="s">
        <v>80</v>
      </c>
      <c r="I855" s="106">
        <v>1673677</v>
      </c>
      <c r="J855" s="106">
        <v>1673677</v>
      </c>
      <c r="K855" s="106">
        <v>1673677</v>
      </c>
      <c r="L855" s="599">
        <f>+K855/J855</f>
        <v>1</v>
      </c>
    </row>
    <row r="856" spans="1:12" s="90" customFormat="1" ht="12.75" customHeight="1">
      <c r="A856" s="99"/>
      <c r="B856" s="116" t="s">
        <v>210</v>
      </c>
      <c r="C856" s="106"/>
      <c r="D856" s="106"/>
      <c r="E856" s="106"/>
      <c r="F856" s="599"/>
      <c r="G856" s="99" t="s">
        <v>112</v>
      </c>
      <c r="H856" s="116" t="s">
        <v>147</v>
      </c>
      <c r="I856" s="106">
        <v>292785</v>
      </c>
      <c r="J856" s="106">
        <v>292785</v>
      </c>
      <c r="K856" s="106">
        <v>292785</v>
      </c>
      <c r="L856" s="599">
        <f>+K856/J856</f>
        <v>1</v>
      </c>
    </row>
    <row r="857" spans="1:12" s="90" customFormat="1" ht="12.75" customHeight="1">
      <c r="A857" s="99" t="s">
        <v>112</v>
      </c>
      <c r="B857" s="116" t="s">
        <v>9</v>
      </c>
      <c r="C857" s="106"/>
      <c r="D857" s="106"/>
      <c r="E857" s="106"/>
      <c r="F857" s="599"/>
      <c r="G857" s="99" t="s">
        <v>113</v>
      </c>
      <c r="H857" s="116" t="s">
        <v>83</v>
      </c>
      <c r="I857" s="106">
        <v>54191</v>
      </c>
      <c r="J857" s="106">
        <v>54191</v>
      </c>
      <c r="K857" s="106">
        <v>54191</v>
      </c>
      <c r="L857" s="599">
        <f>+K857/J857</f>
        <v>1</v>
      </c>
    </row>
    <row r="858" spans="1:12" s="90" customFormat="1" ht="12.75" customHeight="1">
      <c r="A858" s="99" t="s">
        <v>113</v>
      </c>
      <c r="B858" s="116" t="s">
        <v>170</v>
      </c>
      <c r="C858" s="106"/>
      <c r="D858" s="106"/>
      <c r="E858" s="106"/>
      <c r="F858" s="599"/>
      <c r="G858" s="99" t="s">
        <v>114</v>
      </c>
      <c r="H858" s="116" t="s">
        <v>84</v>
      </c>
      <c r="I858" s="106"/>
      <c r="J858" s="106"/>
      <c r="K858" s="106"/>
      <c r="L858" s="599"/>
    </row>
    <row r="859" spans="1:12" s="90" customFormat="1" ht="12.75" customHeight="1">
      <c r="A859" s="99" t="s">
        <v>114</v>
      </c>
      <c r="B859" s="116" t="s">
        <v>181</v>
      </c>
      <c r="C859" s="106"/>
      <c r="D859" s="106"/>
      <c r="E859" s="106"/>
      <c r="F859" s="599"/>
      <c r="G859" s="99" t="s">
        <v>115</v>
      </c>
      <c r="H859" s="116" t="s">
        <v>211</v>
      </c>
      <c r="I859" s="106">
        <v>255809</v>
      </c>
      <c r="J859" s="106">
        <v>255809</v>
      </c>
      <c r="K859" s="106">
        <v>255809</v>
      </c>
      <c r="L859" s="599">
        <f>+K859/J859</f>
        <v>1</v>
      </c>
    </row>
    <row r="860" spans="1:12" s="90" customFormat="1" ht="12.75" customHeight="1">
      <c r="A860" s="112" t="s">
        <v>45</v>
      </c>
      <c r="B860" s="100" t="s">
        <v>118</v>
      </c>
      <c r="C860" s="101"/>
      <c r="D860" s="101"/>
      <c r="E860" s="101"/>
      <c r="F860" s="102"/>
      <c r="G860" s="112" t="s">
        <v>45</v>
      </c>
      <c r="H860" s="100" t="s">
        <v>130</v>
      </c>
      <c r="I860" s="101"/>
      <c r="J860" s="101"/>
      <c r="K860" s="101"/>
      <c r="L860" s="102"/>
    </row>
    <row r="861" spans="1:12" s="90" customFormat="1" ht="12.75" customHeight="1">
      <c r="A861" s="112" t="s">
        <v>111</v>
      </c>
      <c r="B861" s="100" t="s">
        <v>106</v>
      </c>
      <c r="C861" s="106"/>
      <c r="D861" s="106"/>
      <c r="E861" s="106"/>
      <c r="F861" s="599"/>
      <c r="G861" s="112" t="s">
        <v>111</v>
      </c>
      <c r="H861" s="100" t="s">
        <v>131</v>
      </c>
      <c r="I861" s="106"/>
      <c r="J861" s="106"/>
      <c r="K861" s="106"/>
      <c r="L861" s="599"/>
    </row>
    <row r="862" spans="1:12" s="90" customFormat="1" ht="12.75" customHeight="1">
      <c r="A862" s="112" t="s">
        <v>112</v>
      </c>
      <c r="B862" s="100" t="s">
        <v>39</v>
      </c>
      <c r="C862" s="106"/>
      <c r="D862" s="106"/>
      <c r="E862" s="106"/>
      <c r="F862" s="599"/>
      <c r="G862" s="112" t="s">
        <v>112</v>
      </c>
      <c r="H862" s="100" t="s">
        <v>87</v>
      </c>
      <c r="I862" s="106"/>
      <c r="J862" s="106"/>
      <c r="K862" s="106"/>
      <c r="L862" s="599"/>
    </row>
    <row r="863" spans="1:12" s="90" customFormat="1" ht="12.75" customHeight="1">
      <c r="A863" s="112" t="s">
        <v>113</v>
      </c>
      <c r="B863" s="100" t="s">
        <v>201</v>
      </c>
      <c r="C863" s="106"/>
      <c r="D863" s="106"/>
      <c r="E863" s="106"/>
      <c r="F863" s="599"/>
      <c r="G863" s="112" t="s">
        <v>113</v>
      </c>
      <c r="H863" s="100" t="s">
        <v>90</v>
      </c>
      <c r="I863" s="106"/>
      <c r="J863" s="106"/>
      <c r="K863" s="106"/>
      <c r="L863" s="599"/>
    </row>
    <row r="864" spans="1:12" s="90" customFormat="1" ht="12.75" customHeight="1">
      <c r="A864" s="112" t="s">
        <v>56</v>
      </c>
      <c r="B864" s="100" t="s">
        <v>126</v>
      </c>
      <c r="C864" s="101">
        <v>2276462</v>
      </c>
      <c r="D864" s="101">
        <v>2276462</v>
      </c>
      <c r="E864" s="101">
        <v>2276462</v>
      </c>
      <c r="F864" s="102">
        <f>+E864/D864</f>
        <v>1</v>
      </c>
      <c r="G864" s="112" t="s">
        <v>56</v>
      </c>
      <c r="H864" s="100" t="s">
        <v>132</v>
      </c>
      <c r="I864" s="101"/>
      <c r="J864" s="101"/>
      <c r="K864" s="101"/>
      <c r="L864" s="102"/>
    </row>
    <row r="865" spans="1:12" s="90" customFormat="1" ht="12.75" customHeight="1">
      <c r="A865" s="99" t="s">
        <v>64</v>
      </c>
      <c r="B865" s="116" t="s">
        <v>127</v>
      </c>
      <c r="C865" s="101"/>
      <c r="D865" s="101"/>
      <c r="E865" s="101"/>
      <c r="F865" s="102"/>
      <c r="G865" s="99" t="s">
        <v>64</v>
      </c>
      <c r="H865" s="116" t="s">
        <v>133</v>
      </c>
      <c r="I865" s="101"/>
      <c r="J865" s="101"/>
      <c r="K865" s="101"/>
      <c r="L865" s="102"/>
    </row>
    <row r="866" spans="1:12" s="124" customFormat="1" ht="12.75" customHeight="1" thickBot="1">
      <c r="A866" s="117"/>
      <c r="B866" s="118" t="s">
        <v>148</v>
      </c>
      <c r="C866" s="88">
        <f>+C854+C860+C864+C865</f>
        <v>2276462</v>
      </c>
      <c r="D866" s="88">
        <f>+D854+D860+D864+D865</f>
        <v>2276462</v>
      </c>
      <c r="E866" s="88">
        <f>+E854+E860+E864+E865</f>
        <v>2276462</v>
      </c>
      <c r="F866" s="119">
        <f>+E866/D866</f>
        <v>1</v>
      </c>
      <c r="G866" s="117"/>
      <c r="H866" s="118" t="s">
        <v>149</v>
      </c>
      <c r="I866" s="88">
        <f>I854+I860+I864+I865</f>
        <v>2276462</v>
      </c>
      <c r="J866" s="88">
        <f>J854+J860+J864+J865</f>
        <v>2276462</v>
      </c>
      <c r="K866" s="88">
        <f>K854+K860+K864+K865</f>
        <v>2276462</v>
      </c>
      <c r="L866" s="119">
        <f>+K866/J866</f>
        <v>1</v>
      </c>
    </row>
    <row r="867" spans="1:12" s="126" customFormat="1" ht="24" customHeight="1">
      <c r="A867" s="124"/>
      <c r="B867" s="124"/>
      <c r="C867" s="93"/>
      <c r="D867" s="93"/>
      <c r="E867" s="93"/>
      <c r="F867" s="93"/>
      <c r="G867" s="124"/>
      <c r="H867" s="124"/>
      <c r="I867" s="93"/>
      <c r="J867" s="93"/>
      <c r="K867" s="93"/>
      <c r="L867" s="93"/>
    </row>
    <row r="868" spans="1:12" s="647" customFormat="1" ht="12.75" customHeight="1">
      <c r="A868" s="645"/>
      <c r="B868" s="645"/>
      <c r="C868" s="646"/>
      <c r="D868" s="646"/>
      <c r="E868" s="646"/>
      <c r="F868" s="646"/>
      <c r="G868" s="645"/>
      <c r="H868" s="645"/>
      <c r="I868" s="646"/>
      <c r="J868" s="646"/>
      <c r="K868" s="646"/>
      <c r="L868" s="646"/>
    </row>
    <row r="869" spans="1:12" s="90" customFormat="1" ht="12.75" customHeight="1" thickBot="1">
      <c r="A869" s="90" t="s">
        <v>810</v>
      </c>
      <c r="B869" s="124"/>
      <c r="C869" s="93"/>
      <c r="D869" s="93"/>
      <c r="E869" s="93"/>
      <c r="F869" s="93"/>
      <c r="G869" s="124"/>
      <c r="H869" s="124"/>
      <c r="I869" s="595"/>
      <c r="J869" s="595"/>
      <c r="K869" s="93"/>
      <c r="L869" s="596" t="s">
        <v>216</v>
      </c>
    </row>
    <row r="870" spans="1:12" s="90" customFormat="1" ht="24.75" customHeight="1">
      <c r="A870" s="96"/>
      <c r="B870" s="97" t="s">
        <v>104</v>
      </c>
      <c r="C870" s="86" t="s">
        <v>227</v>
      </c>
      <c r="D870" s="86" t="s">
        <v>844</v>
      </c>
      <c r="E870" s="86" t="s">
        <v>303</v>
      </c>
      <c r="F870" s="87" t="s">
        <v>304</v>
      </c>
      <c r="G870" s="96">
        <v>69</v>
      </c>
      <c r="H870" s="97" t="s">
        <v>105</v>
      </c>
      <c r="I870" s="86" t="s">
        <v>227</v>
      </c>
      <c r="J870" s="86" t="s">
        <v>844</v>
      </c>
      <c r="K870" s="86" t="s">
        <v>303</v>
      </c>
      <c r="L870" s="87" t="s">
        <v>304</v>
      </c>
    </row>
    <row r="871" spans="1:12" s="90" customFormat="1" ht="12.75" customHeight="1">
      <c r="A871" s="99" t="s">
        <v>23</v>
      </c>
      <c r="B871" s="100" t="s">
        <v>108</v>
      </c>
      <c r="C871" s="101"/>
      <c r="D871" s="101"/>
      <c r="E871" s="101"/>
      <c r="F871" s="102"/>
      <c r="G871" s="99" t="s">
        <v>23</v>
      </c>
      <c r="H871" s="100" t="s">
        <v>129</v>
      </c>
      <c r="I871" s="101">
        <f>SUM(I872:I876)</f>
        <v>371</v>
      </c>
      <c r="J871" s="101">
        <f>SUM(J872:J876)</f>
        <v>371</v>
      </c>
      <c r="K871" s="101">
        <f>SUM(K872:K876)</f>
        <v>0</v>
      </c>
      <c r="L871" s="102">
        <f>+K871/J871</f>
        <v>0</v>
      </c>
    </row>
    <row r="872" spans="1:12" s="90" customFormat="1" ht="12.75" customHeight="1">
      <c r="A872" s="99" t="s">
        <v>111</v>
      </c>
      <c r="B872" s="116" t="s">
        <v>209</v>
      </c>
      <c r="C872" s="106"/>
      <c r="D872" s="106"/>
      <c r="E872" s="106"/>
      <c r="F872" s="599"/>
      <c r="G872" s="99" t="s">
        <v>111</v>
      </c>
      <c r="H872" s="116" t="s">
        <v>80</v>
      </c>
      <c r="I872" s="106"/>
      <c r="J872" s="106"/>
      <c r="K872" s="106"/>
      <c r="L872" s="599"/>
    </row>
    <row r="873" spans="1:12" s="90" customFormat="1" ht="12.75" customHeight="1">
      <c r="A873" s="99"/>
      <c r="B873" s="116" t="s">
        <v>210</v>
      </c>
      <c r="C873" s="106"/>
      <c r="D873" s="106"/>
      <c r="E873" s="106"/>
      <c r="F873" s="599"/>
      <c r="G873" s="99" t="s">
        <v>112</v>
      </c>
      <c r="H873" s="116" t="s">
        <v>147</v>
      </c>
      <c r="I873" s="106"/>
      <c r="J873" s="106"/>
      <c r="K873" s="106"/>
      <c r="L873" s="599"/>
    </row>
    <row r="874" spans="1:12" s="90" customFormat="1" ht="12.75" customHeight="1">
      <c r="A874" s="99" t="s">
        <v>112</v>
      </c>
      <c r="B874" s="116" t="s">
        <v>9</v>
      </c>
      <c r="C874" s="106"/>
      <c r="D874" s="106"/>
      <c r="E874" s="106"/>
      <c r="F874" s="599"/>
      <c r="G874" s="99" t="s">
        <v>113</v>
      </c>
      <c r="H874" s="116" t="s">
        <v>83</v>
      </c>
      <c r="I874" s="106"/>
      <c r="J874" s="106"/>
      <c r="K874" s="106"/>
      <c r="L874" s="599"/>
    </row>
    <row r="875" spans="1:12" s="90" customFormat="1" ht="12.75" customHeight="1">
      <c r="A875" s="99" t="s">
        <v>113</v>
      </c>
      <c r="B875" s="116" t="s">
        <v>170</v>
      </c>
      <c r="C875" s="106"/>
      <c r="D875" s="106"/>
      <c r="E875" s="106"/>
      <c r="F875" s="599"/>
      <c r="G875" s="99" t="s">
        <v>114</v>
      </c>
      <c r="H875" s="116" t="s">
        <v>84</v>
      </c>
      <c r="I875" s="106"/>
      <c r="J875" s="106"/>
      <c r="K875" s="106"/>
      <c r="L875" s="599"/>
    </row>
    <row r="876" spans="1:12" s="90" customFormat="1" ht="12.75" customHeight="1">
      <c r="A876" s="99" t="s">
        <v>114</v>
      </c>
      <c r="B876" s="116" t="s">
        <v>181</v>
      </c>
      <c r="C876" s="106"/>
      <c r="D876" s="106"/>
      <c r="E876" s="106"/>
      <c r="F876" s="599"/>
      <c r="G876" s="99" t="s">
        <v>115</v>
      </c>
      <c r="H876" s="116" t="s">
        <v>211</v>
      </c>
      <c r="I876" s="106">
        <v>371</v>
      </c>
      <c r="J876" s="106">
        <v>371</v>
      </c>
      <c r="K876" s="106">
        <v>0</v>
      </c>
      <c r="L876" s="599">
        <f>+K876/J876+IF(L876=0/0,0%)</f>
        <v>0</v>
      </c>
    </row>
    <row r="877" spans="1:12" s="90" customFormat="1" ht="12.75" customHeight="1">
      <c r="A877" s="112" t="s">
        <v>45</v>
      </c>
      <c r="B877" s="100" t="s">
        <v>118</v>
      </c>
      <c r="C877" s="101"/>
      <c r="D877" s="101"/>
      <c r="E877" s="101"/>
      <c r="F877" s="102"/>
      <c r="G877" s="112" t="s">
        <v>45</v>
      </c>
      <c r="H877" s="100" t="s">
        <v>130</v>
      </c>
      <c r="I877" s="101"/>
      <c r="J877" s="101"/>
      <c r="K877" s="101"/>
      <c r="L877" s="102"/>
    </row>
    <row r="878" spans="1:12" s="90" customFormat="1" ht="12.75" customHeight="1">
      <c r="A878" s="112" t="s">
        <v>111</v>
      </c>
      <c r="B878" s="100" t="s">
        <v>106</v>
      </c>
      <c r="C878" s="106"/>
      <c r="D878" s="106"/>
      <c r="E878" s="106"/>
      <c r="F878" s="599"/>
      <c r="G878" s="112" t="s">
        <v>111</v>
      </c>
      <c r="H878" s="100" t="s">
        <v>131</v>
      </c>
      <c r="I878" s="106"/>
      <c r="J878" s="106"/>
      <c r="K878" s="106"/>
      <c r="L878" s="599"/>
    </row>
    <row r="879" spans="1:12" s="90" customFormat="1" ht="12.75" customHeight="1">
      <c r="A879" s="112" t="s">
        <v>112</v>
      </c>
      <c r="B879" s="100" t="s">
        <v>39</v>
      </c>
      <c r="C879" s="106"/>
      <c r="D879" s="106"/>
      <c r="E879" s="106"/>
      <c r="F879" s="599"/>
      <c r="G879" s="112" t="s">
        <v>112</v>
      </c>
      <c r="H879" s="100" t="s">
        <v>87</v>
      </c>
      <c r="I879" s="106"/>
      <c r="J879" s="106"/>
      <c r="K879" s="106"/>
      <c r="L879" s="599"/>
    </row>
    <row r="880" spans="1:12" s="90" customFormat="1" ht="12.75" customHeight="1">
      <c r="A880" s="112" t="s">
        <v>113</v>
      </c>
      <c r="B880" s="100" t="s">
        <v>201</v>
      </c>
      <c r="C880" s="106"/>
      <c r="D880" s="106"/>
      <c r="E880" s="106"/>
      <c r="F880" s="599"/>
      <c r="G880" s="112" t="s">
        <v>113</v>
      </c>
      <c r="H880" s="100" t="s">
        <v>90</v>
      </c>
      <c r="I880" s="106"/>
      <c r="J880" s="106"/>
      <c r="K880" s="106"/>
      <c r="L880" s="599"/>
    </row>
    <row r="881" spans="1:12" s="90" customFormat="1" ht="12.75" customHeight="1">
      <c r="A881" s="112" t="s">
        <v>56</v>
      </c>
      <c r="B881" s="100" t="s">
        <v>126</v>
      </c>
      <c r="C881" s="101">
        <v>371</v>
      </c>
      <c r="D881" s="101">
        <v>371</v>
      </c>
      <c r="E881" s="101">
        <v>371</v>
      </c>
      <c r="F881" s="102">
        <f>+E881/D881</f>
        <v>1</v>
      </c>
      <c r="G881" s="112" t="s">
        <v>56</v>
      </c>
      <c r="H881" s="100" t="s">
        <v>132</v>
      </c>
      <c r="I881" s="101"/>
      <c r="J881" s="101"/>
      <c r="K881" s="101"/>
      <c r="L881" s="102"/>
    </row>
    <row r="882" spans="1:12" s="90" customFormat="1" ht="12.75" customHeight="1">
      <c r="A882" s="99" t="s">
        <v>64</v>
      </c>
      <c r="B882" s="116" t="s">
        <v>127</v>
      </c>
      <c r="C882" s="101"/>
      <c r="D882" s="101"/>
      <c r="E882" s="101"/>
      <c r="F882" s="102"/>
      <c r="G882" s="99" t="s">
        <v>64</v>
      </c>
      <c r="H882" s="116" t="s">
        <v>133</v>
      </c>
      <c r="I882" s="101"/>
      <c r="J882" s="101"/>
      <c r="K882" s="101"/>
      <c r="L882" s="102"/>
    </row>
    <row r="883" spans="1:12" s="124" customFormat="1" ht="12.75" customHeight="1" thickBot="1">
      <c r="A883" s="117"/>
      <c r="B883" s="118" t="s">
        <v>148</v>
      </c>
      <c r="C883" s="88">
        <f>+C871+C877+C881+C882</f>
        <v>371</v>
      </c>
      <c r="D883" s="88">
        <f>+D871+D877+D881+D882</f>
        <v>371</v>
      </c>
      <c r="E883" s="88">
        <f>+E871+E877+E881+E882</f>
        <v>371</v>
      </c>
      <c r="F883" s="119">
        <f>+E883/D883</f>
        <v>1</v>
      </c>
      <c r="G883" s="117"/>
      <c r="H883" s="118" t="s">
        <v>149</v>
      </c>
      <c r="I883" s="88">
        <f>I871+I877+I881+I882</f>
        <v>371</v>
      </c>
      <c r="J883" s="88">
        <f>J871+J877+J881+J882</f>
        <v>371</v>
      </c>
      <c r="K883" s="88">
        <f>K871+K877+K881+K882</f>
        <v>0</v>
      </c>
      <c r="L883" s="119">
        <f>+K883/J883</f>
        <v>0</v>
      </c>
    </row>
    <row r="884" spans="1:12" s="126" customFormat="1" ht="12.75" customHeight="1">
      <c r="A884" s="124"/>
      <c r="B884" s="124"/>
      <c r="C884" s="93"/>
      <c r="D884" s="93"/>
      <c r="E884" s="639"/>
      <c r="F884" s="639"/>
      <c r="G884" s="124"/>
      <c r="H884" s="124"/>
      <c r="I884" s="93"/>
      <c r="J884" s="93"/>
      <c r="K884" s="639"/>
      <c r="L884" s="639"/>
    </row>
    <row r="885" spans="1:12" s="90" customFormat="1" ht="12.75" customHeight="1" thickBot="1">
      <c r="A885" s="90" t="s">
        <v>275</v>
      </c>
      <c r="B885" s="124"/>
      <c r="C885" s="93"/>
      <c r="D885" s="93"/>
      <c r="E885" s="93"/>
      <c r="F885" s="93"/>
      <c r="G885" s="124"/>
      <c r="H885" s="124"/>
      <c r="I885" s="595"/>
      <c r="J885" s="595"/>
      <c r="K885" s="93"/>
      <c r="L885" s="596" t="s">
        <v>216</v>
      </c>
    </row>
    <row r="886" spans="1:12" s="90" customFormat="1" ht="24.75" customHeight="1">
      <c r="A886" s="96"/>
      <c r="B886" s="97" t="s">
        <v>104</v>
      </c>
      <c r="C886" s="86" t="s">
        <v>227</v>
      </c>
      <c r="D886" s="86" t="s">
        <v>844</v>
      </c>
      <c r="E886" s="86" t="s">
        <v>303</v>
      </c>
      <c r="F886" s="87" t="s">
        <v>304</v>
      </c>
      <c r="G886" s="96">
        <v>70</v>
      </c>
      <c r="H886" s="97" t="s">
        <v>105</v>
      </c>
      <c r="I886" s="86" t="s">
        <v>227</v>
      </c>
      <c r="J886" s="86" t="s">
        <v>844</v>
      </c>
      <c r="K886" s="86" t="s">
        <v>303</v>
      </c>
      <c r="L886" s="87" t="s">
        <v>304</v>
      </c>
    </row>
    <row r="887" spans="1:12" s="90" customFormat="1" ht="12.75" customHeight="1">
      <c r="A887" s="99" t="s">
        <v>23</v>
      </c>
      <c r="B887" s="100" t="s">
        <v>108</v>
      </c>
      <c r="C887" s="101">
        <f>+C888+C890+C891+C892</f>
        <v>70000</v>
      </c>
      <c r="D887" s="101">
        <f>+D888+D890+D891+D892</f>
        <v>70000</v>
      </c>
      <c r="E887" s="101">
        <v>0</v>
      </c>
      <c r="F887" s="102">
        <f>E887/D887</f>
        <v>0</v>
      </c>
      <c r="G887" s="99" t="s">
        <v>23</v>
      </c>
      <c r="H887" s="100" t="s">
        <v>129</v>
      </c>
      <c r="I887" s="101">
        <f>SUM(I888:I892)</f>
        <v>603440</v>
      </c>
      <c r="J887" s="101">
        <f>SUM(J888:J892)</f>
        <v>603440</v>
      </c>
      <c r="K887" s="101">
        <f>SUM(K888:K892)</f>
        <v>602876</v>
      </c>
      <c r="L887" s="102">
        <f>+K887/J887</f>
        <v>0.9990653586106324</v>
      </c>
    </row>
    <row r="888" spans="1:12" s="90" customFormat="1" ht="12.75" customHeight="1">
      <c r="A888" s="99" t="s">
        <v>111</v>
      </c>
      <c r="B888" s="116" t="s">
        <v>209</v>
      </c>
      <c r="C888" s="106">
        <f>+C889</f>
        <v>70000</v>
      </c>
      <c r="D888" s="106">
        <f>+D889</f>
        <v>70000</v>
      </c>
      <c r="E888" s="106">
        <v>0</v>
      </c>
      <c r="F888" s="599">
        <f>E888/D888</f>
        <v>0</v>
      </c>
      <c r="G888" s="99" t="s">
        <v>111</v>
      </c>
      <c r="H888" s="116" t="s">
        <v>80</v>
      </c>
      <c r="I888" s="106">
        <f>462851-349</f>
        <v>462502</v>
      </c>
      <c r="J888" s="106">
        <f>462851-349</f>
        <v>462502</v>
      </c>
      <c r="K888" s="106">
        <v>462502</v>
      </c>
      <c r="L888" s="599">
        <f>+K888/J888</f>
        <v>1</v>
      </c>
    </row>
    <row r="889" spans="1:12" s="90" customFormat="1" ht="12.75" customHeight="1">
      <c r="A889" s="99"/>
      <c r="B889" s="116" t="s">
        <v>210</v>
      </c>
      <c r="C889" s="106">
        <v>70000</v>
      </c>
      <c r="D889" s="106">
        <v>70000</v>
      </c>
      <c r="E889" s="106">
        <v>0</v>
      </c>
      <c r="F889" s="599">
        <f>E889/D889</f>
        <v>0</v>
      </c>
      <c r="G889" s="99" t="s">
        <v>112</v>
      </c>
      <c r="H889" s="116" t="s">
        <v>147</v>
      </c>
      <c r="I889" s="106">
        <f>70589+10349</f>
        <v>80938</v>
      </c>
      <c r="J889" s="106">
        <f>70589+10349</f>
        <v>80938</v>
      </c>
      <c r="K889" s="106">
        <v>80938</v>
      </c>
      <c r="L889" s="599">
        <f>+K889/J889</f>
        <v>1</v>
      </c>
    </row>
    <row r="890" spans="1:12" s="90" customFormat="1" ht="12.75" customHeight="1">
      <c r="A890" s="99" t="s">
        <v>112</v>
      </c>
      <c r="B890" s="116" t="s">
        <v>9</v>
      </c>
      <c r="C890" s="106"/>
      <c r="D890" s="106"/>
      <c r="E890" s="106"/>
      <c r="F890" s="599"/>
      <c r="G890" s="99" t="s">
        <v>113</v>
      </c>
      <c r="H890" s="116" t="s">
        <v>83</v>
      </c>
      <c r="I890" s="106">
        <f>70000-10000</f>
        <v>60000</v>
      </c>
      <c r="J890" s="106">
        <f>70000-10000</f>
        <v>60000</v>
      </c>
      <c r="K890" s="106">
        <v>59436</v>
      </c>
      <c r="L890" s="599">
        <f>+K890/J890</f>
        <v>0.9906</v>
      </c>
    </row>
    <row r="891" spans="1:12" s="90" customFormat="1" ht="12.75" customHeight="1">
      <c r="A891" s="99" t="s">
        <v>113</v>
      </c>
      <c r="B891" s="116" t="s">
        <v>170</v>
      </c>
      <c r="C891" s="106"/>
      <c r="D891" s="106"/>
      <c r="E891" s="106"/>
      <c r="F891" s="599"/>
      <c r="G891" s="99" t="s">
        <v>114</v>
      </c>
      <c r="H891" s="116" t="s">
        <v>84</v>
      </c>
      <c r="I891" s="106"/>
      <c r="J891" s="106"/>
      <c r="K891" s="106"/>
      <c r="L891" s="599"/>
    </row>
    <row r="892" spans="1:12" s="90" customFormat="1" ht="12.75" customHeight="1">
      <c r="A892" s="99" t="s">
        <v>114</v>
      </c>
      <c r="B892" s="116" t="s">
        <v>181</v>
      </c>
      <c r="C892" s="106"/>
      <c r="D892" s="106"/>
      <c r="E892" s="106"/>
      <c r="F892" s="599"/>
      <c r="G892" s="99" t="s">
        <v>115</v>
      </c>
      <c r="H892" s="116" t="s">
        <v>211</v>
      </c>
      <c r="I892" s="106"/>
      <c r="J892" s="106"/>
      <c r="K892" s="106"/>
      <c r="L892" s="599"/>
    </row>
    <row r="893" spans="1:12" s="90" customFormat="1" ht="12.75" customHeight="1">
      <c r="A893" s="112" t="s">
        <v>45</v>
      </c>
      <c r="B893" s="100" t="s">
        <v>118</v>
      </c>
      <c r="C893" s="101"/>
      <c r="D893" s="101"/>
      <c r="E893" s="101"/>
      <c r="F893" s="102"/>
      <c r="G893" s="112" t="s">
        <v>45</v>
      </c>
      <c r="H893" s="100" t="s">
        <v>130</v>
      </c>
      <c r="I893" s="101"/>
      <c r="J893" s="101"/>
      <c r="K893" s="101"/>
      <c r="L893" s="102"/>
    </row>
    <row r="894" spans="1:12" s="90" customFormat="1" ht="12.75" customHeight="1">
      <c r="A894" s="112" t="s">
        <v>111</v>
      </c>
      <c r="B894" s="100" t="s">
        <v>106</v>
      </c>
      <c r="C894" s="106"/>
      <c r="D894" s="106"/>
      <c r="E894" s="106"/>
      <c r="F894" s="599"/>
      <c r="G894" s="112" t="s">
        <v>111</v>
      </c>
      <c r="H894" s="100" t="s">
        <v>131</v>
      </c>
      <c r="I894" s="106"/>
      <c r="J894" s="106"/>
      <c r="K894" s="106"/>
      <c r="L894" s="599"/>
    </row>
    <row r="895" spans="1:12" s="90" customFormat="1" ht="12.75" customHeight="1">
      <c r="A895" s="112" t="s">
        <v>112</v>
      </c>
      <c r="B895" s="100" t="s">
        <v>39</v>
      </c>
      <c r="C895" s="106"/>
      <c r="D895" s="106"/>
      <c r="E895" s="106"/>
      <c r="F895" s="599"/>
      <c r="G895" s="112" t="s">
        <v>112</v>
      </c>
      <c r="H895" s="100" t="s">
        <v>87</v>
      </c>
      <c r="I895" s="106"/>
      <c r="J895" s="106"/>
      <c r="K895" s="106"/>
      <c r="L895" s="599"/>
    </row>
    <row r="896" spans="1:12" s="90" customFormat="1" ht="12.75" customHeight="1">
      <c r="A896" s="112" t="s">
        <v>113</v>
      </c>
      <c r="B896" s="100" t="s">
        <v>201</v>
      </c>
      <c r="C896" s="106"/>
      <c r="D896" s="106"/>
      <c r="E896" s="106"/>
      <c r="F896" s="599"/>
      <c r="G896" s="112" t="s">
        <v>113</v>
      </c>
      <c r="H896" s="100" t="s">
        <v>90</v>
      </c>
      <c r="I896" s="106"/>
      <c r="J896" s="106"/>
      <c r="K896" s="106"/>
      <c r="L896" s="599"/>
    </row>
    <row r="897" spans="1:12" s="90" customFormat="1" ht="12.75" customHeight="1">
      <c r="A897" s="112" t="s">
        <v>56</v>
      </c>
      <c r="B897" s="100" t="s">
        <v>126</v>
      </c>
      <c r="C897" s="101">
        <v>533440</v>
      </c>
      <c r="D897" s="101">
        <v>533440</v>
      </c>
      <c r="E897" s="101">
        <v>533440</v>
      </c>
      <c r="F897" s="102">
        <f>E897/D897</f>
        <v>1</v>
      </c>
      <c r="G897" s="112" t="s">
        <v>56</v>
      </c>
      <c r="H897" s="100" t="s">
        <v>132</v>
      </c>
      <c r="I897" s="101"/>
      <c r="J897" s="101"/>
      <c r="K897" s="101"/>
      <c r="L897" s="102"/>
    </row>
    <row r="898" spans="1:12" s="90" customFormat="1" ht="12.75" customHeight="1">
      <c r="A898" s="99" t="s">
        <v>64</v>
      </c>
      <c r="B898" s="116" t="s">
        <v>127</v>
      </c>
      <c r="C898" s="101"/>
      <c r="D898" s="101"/>
      <c r="E898" s="101"/>
      <c r="F898" s="102"/>
      <c r="G898" s="99" t="s">
        <v>64</v>
      </c>
      <c r="H898" s="116" t="s">
        <v>133</v>
      </c>
      <c r="I898" s="101"/>
      <c r="J898" s="101"/>
      <c r="K898" s="101"/>
      <c r="L898" s="102"/>
    </row>
    <row r="899" spans="1:12" s="124" customFormat="1" ht="12.75" customHeight="1" thickBot="1">
      <c r="A899" s="117"/>
      <c r="B899" s="118" t="s">
        <v>148</v>
      </c>
      <c r="C899" s="88">
        <f>+C887+C893+C897+C898</f>
        <v>603440</v>
      </c>
      <c r="D899" s="88">
        <f>+D887+D893+D897+D898</f>
        <v>603440</v>
      </c>
      <c r="E899" s="88">
        <f>+E887+E893+E897+E898</f>
        <v>533440</v>
      </c>
      <c r="F899" s="119">
        <f>E899/D899</f>
        <v>0.8839984091210393</v>
      </c>
      <c r="G899" s="117"/>
      <c r="H899" s="118" t="s">
        <v>149</v>
      </c>
      <c r="I899" s="88">
        <f>I887+I893+I897+I898</f>
        <v>603440</v>
      </c>
      <c r="J899" s="88">
        <f>J887+J893+J897+J898</f>
        <v>603440</v>
      </c>
      <c r="K899" s="88">
        <f>K887+K893+K897+K898</f>
        <v>602876</v>
      </c>
      <c r="L899" s="119">
        <f>+K899/J899</f>
        <v>0.9990653586106324</v>
      </c>
    </row>
    <row r="900" spans="1:12" s="126" customFormat="1" ht="12.75" customHeight="1">
      <c r="A900" s="124"/>
      <c r="B900" s="124"/>
      <c r="C900" s="93"/>
      <c r="D900" s="93"/>
      <c r="E900" s="595"/>
      <c r="F900" s="595"/>
      <c r="G900" s="124"/>
      <c r="H900" s="124"/>
      <c r="I900" s="93"/>
      <c r="J900" s="93"/>
      <c r="K900" s="595"/>
      <c r="L900" s="595"/>
    </row>
    <row r="901" spans="1:12" s="90" customFormat="1" ht="12.75" customHeight="1" thickBot="1">
      <c r="A901" s="90" t="s">
        <v>248</v>
      </c>
      <c r="B901" s="124"/>
      <c r="E901" s="93"/>
      <c r="F901" s="93"/>
      <c r="G901" s="124"/>
      <c r="H901" s="124"/>
      <c r="I901" s="595"/>
      <c r="J901" s="595"/>
      <c r="K901" s="93"/>
      <c r="L901" s="596" t="s">
        <v>216</v>
      </c>
    </row>
    <row r="902" spans="1:12" s="90" customFormat="1" ht="24.75" customHeight="1">
      <c r="A902" s="96"/>
      <c r="B902" s="97" t="s">
        <v>104</v>
      </c>
      <c r="C902" s="86" t="s">
        <v>227</v>
      </c>
      <c r="D902" s="86" t="s">
        <v>844</v>
      </c>
      <c r="E902" s="86" t="s">
        <v>303</v>
      </c>
      <c r="F902" s="87" t="s">
        <v>304</v>
      </c>
      <c r="G902" s="96">
        <v>71</v>
      </c>
      <c r="H902" s="97" t="s">
        <v>105</v>
      </c>
      <c r="I902" s="86" t="s">
        <v>227</v>
      </c>
      <c r="J902" s="86" t="s">
        <v>844</v>
      </c>
      <c r="K902" s="86" t="s">
        <v>303</v>
      </c>
      <c r="L902" s="87" t="s">
        <v>304</v>
      </c>
    </row>
    <row r="903" spans="1:12" s="90" customFormat="1" ht="12.75" customHeight="1">
      <c r="A903" s="99" t="s">
        <v>23</v>
      </c>
      <c r="B903" s="100" t="s">
        <v>108</v>
      </c>
      <c r="C903" s="101"/>
      <c r="D903" s="101"/>
      <c r="E903" s="101"/>
      <c r="F903" s="102"/>
      <c r="G903" s="99" t="s">
        <v>23</v>
      </c>
      <c r="H903" s="100" t="s">
        <v>129</v>
      </c>
      <c r="I903" s="101">
        <f>SUM(I904:I908)</f>
        <v>76123</v>
      </c>
      <c r="J903" s="101">
        <f>SUM(J904:J908)</f>
        <v>76123</v>
      </c>
      <c r="K903" s="101">
        <f>SUM(K904:K908)</f>
        <v>0</v>
      </c>
      <c r="L903" s="102">
        <f>+K903/J903</f>
        <v>0</v>
      </c>
    </row>
    <row r="904" spans="1:12" s="90" customFormat="1" ht="12.75" customHeight="1">
      <c r="A904" s="99" t="s">
        <v>111</v>
      </c>
      <c r="B904" s="116" t="s">
        <v>209</v>
      </c>
      <c r="C904" s="106"/>
      <c r="D904" s="106"/>
      <c r="E904" s="106"/>
      <c r="F904" s="599"/>
      <c r="G904" s="99" t="s">
        <v>111</v>
      </c>
      <c r="H904" s="116" t="s">
        <v>80</v>
      </c>
      <c r="I904" s="106">
        <v>63719</v>
      </c>
      <c r="J904" s="106">
        <v>63719</v>
      </c>
      <c r="K904" s="106">
        <v>0</v>
      </c>
      <c r="L904" s="599">
        <f>+K904/J904</f>
        <v>0</v>
      </c>
    </row>
    <row r="905" spans="1:12" s="90" customFormat="1" ht="12.75" customHeight="1">
      <c r="A905" s="99"/>
      <c r="B905" s="116" t="s">
        <v>210</v>
      </c>
      <c r="C905" s="106"/>
      <c r="D905" s="106"/>
      <c r="E905" s="106"/>
      <c r="F905" s="599"/>
      <c r="G905" s="99" t="s">
        <v>112</v>
      </c>
      <c r="H905" s="116" t="s">
        <v>147</v>
      </c>
      <c r="I905" s="106">
        <v>12404</v>
      </c>
      <c r="J905" s="106">
        <v>12404</v>
      </c>
      <c r="K905" s="106">
        <v>0</v>
      </c>
      <c r="L905" s="599">
        <f>+K905/J905</f>
        <v>0</v>
      </c>
    </row>
    <row r="906" spans="1:12" s="90" customFormat="1" ht="12.75" customHeight="1">
      <c r="A906" s="99" t="s">
        <v>112</v>
      </c>
      <c r="B906" s="116" t="s">
        <v>9</v>
      </c>
      <c r="C906" s="106"/>
      <c r="D906" s="106"/>
      <c r="E906" s="106"/>
      <c r="F906" s="599"/>
      <c r="G906" s="99" t="s">
        <v>113</v>
      </c>
      <c r="H906" s="116" t="s">
        <v>83</v>
      </c>
      <c r="I906" s="106"/>
      <c r="J906" s="106"/>
      <c r="K906" s="106"/>
      <c r="L906" s="599"/>
    </row>
    <row r="907" spans="1:12" s="90" customFormat="1" ht="12.75" customHeight="1">
      <c r="A907" s="99" t="s">
        <v>113</v>
      </c>
      <c r="B907" s="116" t="s">
        <v>170</v>
      </c>
      <c r="C907" s="106"/>
      <c r="D907" s="106"/>
      <c r="E907" s="106"/>
      <c r="F907" s="599"/>
      <c r="G907" s="99" t="s">
        <v>114</v>
      </c>
      <c r="H907" s="116" t="s">
        <v>84</v>
      </c>
      <c r="I907" s="106"/>
      <c r="J907" s="106"/>
      <c r="K907" s="106"/>
      <c r="L907" s="599"/>
    </row>
    <row r="908" spans="1:12" s="90" customFormat="1" ht="12.75" customHeight="1">
      <c r="A908" s="99" t="s">
        <v>114</v>
      </c>
      <c r="B908" s="116" t="s">
        <v>181</v>
      </c>
      <c r="C908" s="106"/>
      <c r="D908" s="106"/>
      <c r="E908" s="106"/>
      <c r="F908" s="599"/>
      <c r="G908" s="99" t="s">
        <v>115</v>
      </c>
      <c r="H908" s="116" t="s">
        <v>211</v>
      </c>
      <c r="I908" s="106"/>
      <c r="J908" s="106"/>
      <c r="K908" s="106"/>
      <c r="L908" s="599"/>
    </row>
    <row r="909" spans="1:12" s="90" customFormat="1" ht="12.75" customHeight="1">
      <c r="A909" s="112" t="s">
        <v>45</v>
      </c>
      <c r="B909" s="100" t="s">
        <v>118</v>
      </c>
      <c r="C909" s="101"/>
      <c r="D909" s="101"/>
      <c r="E909" s="101"/>
      <c r="F909" s="102"/>
      <c r="G909" s="112" t="s">
        <v>45</v>
      </c>
      <c r="H909" s="100" t="s">
        <v>130</v>
      </c>
      <c r="I909" s="101"/>
      <c r="J909" s="101"/>
      <c r="K909" s="101"/>
      <c r="L909" s="102"/>
    </row>
    <row r="910" spans="1:12" s="90" customFormat="1" ht="12.75" customHeight="1">
      <c r="A910" s="112" t="s">
        <v>111</v>
      </c>
      <c r="B910" s="100" t="s">
        <v>106</v>
      </c>
      <c r="C910" s="106"/>
      <c r="D910" s="106"/>
      <c r="E910" s="106"/>
      <c r="F910" s="599"/>
      <c r="G910" s="112" t="s">
        <v>111</v>
      </c>
      <c r="H910" s="100" t="s">
        <v>131</v>
      </c>
      <c r="I910" s="106"/>
      <c r="J910" s="106"/>
      <c r="K910" s="106"/>
      <c r="L910" s="599"/>
    </row>
    <row r="911" spans="1:12" s="90" customFormat="1" ht="12.75" customHeight="1">
      <c r="A911" s="112" t="s">
        <v>112</v>
      </c>
      <c r="B911" s="100" t="s">
        <v>39</v>
      </c>
      <c r="C911" s="106"/>
      <c r="D911" s="106"/>
      <c r="E911" s="106"/>
      <c r="F911" s="599"/>
      <c r="G911" s="112" t="s">
        <v>112</v>
      </c>
      <c r="H911" s="100" t="s">
        <v>87</v>
      </c>
      <c r="I911" s="106"/>
      <c r="J911" s="106"/>
      <c r="K911" s="106"/>
      <c r="L911" s="599"/>
    </row>
    <row r="912" spans="1:12" s="90" customFormat="1" ht="12.75" customHeight="1">
      <c r="A912" s="112" t="s">
        <v>113</v>
      </c>
      <c r="B912" s="100" t="s">
        <v>201</v>
      </c>
      <c r="C912" s="106"/>
      <c r="D912" s="106"/>
      <c r="E912" s="106"/>
      <c r="F912" s="599"/>
      <c r="G912" s="112" t="s">
        <v>113</v>
      </c>
      <c r="H912" s="100" t="s">
        <v>90</v>
      </c>
      <c r="I912" s="106"/>
      <c r="J912" s="106"/>
      <c r="K912" s="106"/>
      <c r="L912" s="599"/>
    </row>
    <row r="913" spans="1:12" s="90" customFormat="1" ht="12.75" customHeight="1">
      <c r="A913" s="112" t="s">
        <v>56</v>
      </c>
      <c r="B913" s="100" t="s">
        <v>126</v>
      </c>
      <c r="C913" s="101">
        <v>76123</v>
      </c>
      <c r="D913" s="101">
        <v>76123</v>
      </c>
      <c r="E913" s="101">
        <v>76123</v>
      </c>
      <c r="F913" s="102">
        <f>+E913/D913</f>
        <v>1</v>
      </c>
      <c r="G913" s="112" t="s">
        <v>56</v>
      </c>
      <c r="H913" s="100" t="s">
        <v>132</v>
      </c>
      <c r="I913" s="101"/>
      <c r="J913" s="101"/>
      <c r="K913" s="101"/>
      <c r="L913" s="102"/>
    </row>
    <row r="914" spans="1:12" s="90" customFormat="1" ht="12.75" customHeight="1">
      <c r="A914" s="99" t="s">
        <v>64</v>
      </c>
      <c r="B914" s="116" t="s">
        <v>127</v>
      </c>
      <c r="C914" s="101"/>
      <c r="D914" s="101"/>
      <c r="E914" s="101"/>
      <c r="F914" s="102"/>
      <c r="G914" s="99" t="s">
        <v>64</v>
      </c>
      <c r="H914" s="116" t="s">
        <v>133</v>
      </c>
      <c r="I914" s="101"/>
      <c r="J914" s="101"/>
      <c r="K914" s="101"/>
      <c r="L914" s="102"/>
    </row>
    <row r="915" spans="1:12" s="124" customFormat="1" ht="12.75" customHeight="1" thickBot="1">
      <c r="A915" s="117"/>
      <c r="B915" s="118" t="s">
        <v>148</v>
      </c>
      <c r="C915" s="88">
        <f>+C903+C909+C913+C914</f>
        <v>76123</v>
      </c>
      <c r="D915" s="88">
        <f>+D903+D909+D913+D914</f>
        <v>76123</v>
      </c>
      <c r="E915" s="88">
        <f>+E903+E909+E913+E914</f>
        <v>76123</v>
      </c>
      <c r="F915" s="119">
        <f>+E915/D915</f>
        <v>1</v>
      </c>
      <c r="G915" s="117"/>
      <c r="H915" s="118" t="s">
        <v>149</v>
      </c>
      <c r="I915" s="88">
        <f>I903+I909+I913+I914</f>
        <v>76123</v>
      </c>
      <c r="J915" s="88">
        <f>J903+J909+J913+J914</f>
        <v>76123</v>
      </c>
      <c r="K915" s="88">
        <f>K903+K909+K913+K914</f>
        <v>0</v>
      </c>
      <c r="L915" s="119">
        <f>+K915/J915</f>
        <v>0</v>
      </c>
    </row>
    <row r="916" spans="1:12" s="126" customFormat="1" ht="25.5" customHeight="1">
      <c r="A916" s="124"/>
      <c r="B916" s="124"/>
      <c r="C916" s="93"/>
      <c r="D916" s="93"/>
      <c r="E916" s="93"/>
      <c r="F916" s="93"/>
      <c r="G916" s="124"/>
      <c r="H916" s="124"/>
      <c r="I916" s="93"/>
      <c r="J916" s="93"/>
      <c r="K916" s="93"/>
      <c r="L916" s="93"/>
    </row>
    <row r="917" spans="1:12" s="647" customFormat="1" ht="12.75" customHeight="1">
      <c r="A917" s="645"/>
      <c r="B917" s="645"/>
      <c r="C917" s="646"/>
      <c r="D917" s="646"/>
      <c r="E917" s="646"/>
      <c r="F917" s="646"/>
      <c r="G917" s="645"/>
      <c r="H917" s="645"/>
      <c r="I917" s="646"/>
      <c r="J917" s="646"/>
      <c r="K917" s="646"/>
      <c r="L917" s="646"/>
    </row>
    <row r="918" spans="1:12" s="90" customFormat="1" ht="12.75" customHeight="1" thickBot="1">
      <c r="A918" s="90" t="s">
        <v>281</v>
      </c>
      <c r="B918" s="124"/>
      <c r="C918" s="93"/>
      <c r="D918" s="93"/>
      <c r="E918" s="93"/>
      <c r="F918" s="93"/>
      <c r="G918" s="124"/>
      <c r="H918" s="124"/>
      <c r="I918" s="595"/>
      <c r="J918" s="595"/>
      <c r="K918" s="93"/>
      <c r="L918" s="596" t="s">
        <v>216</v>
      </c>
    </row>
    <row r="919" spans="1:12" s="90" customFormat="1" ht="24.75" customHeight="1">
      <c r="A919" s="96"/>
      <c r="B919" s="97" t="s">
        <v>104</v>
      </c>
      <c r="C919" s="86" t="s">
        <v>227</v>
      </c>
      <c r="D919" s="86" t="s">
        <v>844</v>
      </c>
      <c r="E919" s="86" t="s">
        <v>303</v>
      </c>
      <c r="F919" s="87" t="s">
        <v>304</v>
      </c>
      <c r="G919" s="96">
        <v>114</v>
      </c>
      <c r="H919" s="97" t="s">
        <v>105</v>
      </c>
      <c r="I919" s="86" t="s">
        <v>227</v>
      </c>
      <c r="J919" s="86" t="s">
        <v>844</v>
      </c>
      <c r="K919" s="86" t="s">
        <v>303</v>
      </c>
      <c r="L919" s="87" t="s">
        <v>304</v>
      </c>
    </row>
    <row r="920" spans="1:12" s="90" customFormat="1" ht="12.75" customHeight="1">
      <c r="A920" s="99" t="s">
        <v>23</v>
      </c>
      <c r="B920" s="100" t="s">
        <v>108</v>
      </c>
      <c r="C920" s="101"/>
      <c r="D920" s="101"/>
      <c r="E920" s="101"/>
      <c r="F920" s="102"/>
      <c r="G920" s="99" t="s">
        <v>23</v>
      </c>
      <c r="H920" s="100" t="s">
        <v>129</v>
      </c>
      <c r="I920" s="101">
        <f>SUM(I921:I925)</f>
        <v>4061044</v>
      </c>
      <c r="J920" s="101">
        <f>SUM(J921:J925)</f>
        <v>4061044</v>
      </c>
      <c r="K920" s="101">
        <f>SUM(K921:K925)</f>
        <v>865450</v>
      </c>
      <c r="L920" s="102">
        <f>+K920/J920</f>
        <v>0.21311022485843542</v>
      </c>
    </row>
    <row r="921" spans="1:12" s="90" customFormat="1" ht="12.75" customHeight="1">
      <c r="A921" s="99" t="s">
        <v>111</v>
      </c>
      <c r="B921" s="116" t="s">
        <v>209</v>
      </c>
      <c r="C921" s="106"/>
      <c r="D921" s="106"/>
      <c r="E921" s="106"/>
      <c r="F921" s="599"/>
      <c r="G921" s="99" t="s">
        <v>111</v>
      </c>
      <c r="H921" s="116" t="s">
        <v>80</v>
      </c>
      <c r="I921" s="106">
        <f>3297033-1480000</f>
        <v>1817033</v>
      </c>
      <c r="J921" s="106">
        <f>3297033-1480000</f>
        <v>1817033</v>
      </c>
      <c r="K921" s="106">
        <v>741856</v>
      </c>
      <c r="L921" s="599">
        <f>+K921/J921</f>
        <v>0.40827877094141934</v>
      </c>
    </row>
    <row r="922" spans="1:12" s="90" customFormat="1" ht="12.75" customHeight="1">
      <c r="A922" s="99"/>
      <c r="B922" s="116" t="s">
        <v>210</v>
      </c>
      <c r="C922" s="106"/>
      <c r="D922" s="106"/>
      <c r="E922" s="106"/>
      <c r="F922" s="599"/>
      <c r="G922" s="99" t="s">
        <v>112</v>
      </c>
      <c r="H922" s="116" t="s">
        <v>147</v>
      </c>
      <c r="I922" s="106">
        <v>649129</v>
      </c>
      <c r="J922" s="106">
        <v>649129</v>
      </c>
      <c r="K922" s="106">
        <v>123594</v>
      </c>
      <c r="L922" s="599">
        <f>+K922/J922</f>
        <v>0.19039975105102375</v>
      </c>
    </row>
    <row r="923" spans="1:12" s="90" customFormat="1" ht="12.75" customHeight="1">
      <c r="A923" s="99" t="s">
        <v>112</v>
      </c>
      <c r="B923" s="116" t="s">
        <v>9</v>
      </c>
      <c r="C923" s="106"/>
      <c r="D923" s="106"/>
      <c r="E923" s="106"/>
      <c r="F923" s="599"/>
      <c r="G923" s="99" t="s">
        <v>113</v>
      </c>
      <c r="H923" s="116" t="s">
        <v>83</v>
      </c>
      <c r="I923" s="106">
        <f>598974+995908</f>
        <v>1594882</v>
      </c>
      <c r="J923" s="106">
        <f>598974+995908</f>
        <v>1594882</v>
      </c>
      <c r="K923" s="106">
        <v>0</v>
      </c>
      <c r="L923" s="599">
        <f>+K923/J923</f>
        <v>0</v>
      </c>
    </row>
    <row r="924" spans="1:12" s="90" customFormat="1" ht="12.75" customHeight="1">
      <c r="A924" s="99" t="s">
        <v>113</v>
      </c>
      <c r="B924" s="116" t="s">
        <v>170</v>
      </c>
      <c r="C924" s="106"/>
      <c r="D924" s="106"/>
      <c r="E924" s="106"/>
      <c r="F924" s="599"/>
      <c r="G924" s="99" t="s">
        <v>114</v>
      </c>
      <c r="H924" s="116" t="s">
        <v>84</v>
      </c>
      <c r="I924" s="106"/>
      <c r="J924" s="106"/>
      <c r="K924" s="106"/>
      <c r="L924" s="599"/>
    </row>
    <row r="925" spans="1:12" s="90" customFormat="1" ht="12.75" customHeight="1">
      <c r="A925" s="99" t="s">
        <v>114</v>
      </c>
      <c r="B925" s="116" t="s">
        <v>181</v>
      </c>
      <c r="C925" s="106"/>
      <c r="D925" s="106"/>
      <c r="E925" s="106"/>
      <c r="F925" s="599"/>
      <c r="G925" s="99" t="s">
        <v>115</v>
      </c>
      <c r="H925" s="116" t="s">
        <v>211</v>
      </c>
      <c r="I925" s="106"/>
      <c r="J925" s="106"/>
      <c r="K925" s="106"/>
      <c r="L925" s="599"/>
    </row>
    <row r="926" spans="1:12" s="90" customFormat="1" ht="12.75" customHeight="1">
      <c r="A926" s="112" t="s">
        <v>45</v>
      </c>
      <c r="B926" s="100" t="s">
        <v>118</v>
      </c>
      <c r="C926" s="101"/>
      <c r="D926" s="101"/>
      <c r="E926" s="101"/>
      <c r="F926" s="102"/>
      <c r="G926" s="112" t="s">
        <v>45</v>
      </c>
      <c r="H926" s="100" t="s">
        <v>130</v>
      </c>
      <c r="I926" s="101"/>
      <c r="J926" s="101"/>
      <c r="K926" s="101"/>
      <c r="L926" s="102"/>
    </row>
    <row r="927" spans="1:12" s="90" customFormat="1" ht="12.75" customHeight="1">
      <c r="A927" s="112" t="s">
        <v>111</v>
      </c>
      <c r="B927" s="100" t="s">
        <v>106</v>
      </c>
      <c r="C927" s="106"/>
      <c r="D927" s="106"/>
      <c r="E927" s="106"/>
      <c r="F927" s="599"/>
      <c r="G927" s="112" t="s">
        <v>111</v>
      </c>
      <c r="H927" s="100" t="s">
        <v>131</v>
      </c>
      <c r="I927" s="106"/>
      <c r="J927" s="106"/>
      <c r="K927" s="106"/>
      <c r="L927" s="599"/>
    </row>
    <row r="928" spans="1:12" s="90" customFormat="1" ht="12.75" customHeight="1">
      <c r="A928" s="112" t="s">
        <v>112</v>
      </c>
      <c r="B928" s="100" t="s">
        <v>39</v>
      </c>
      <c r="C928" s="106"/>
      <c r="D928" s="106"/>
      <c r="E928" s="106"/>
      <c r="F928" s="599"/>
      <c r="G928" s="112" t="s">
        <v>112</v>
      </c>
      <c r="H928" s="100" t="s">
        <v>87</v>
      </c>
      <c r="I928" s="106"/>
      <c r="J928" s="106"/>
      <c r="K928" s="106"/>
      <c r="L928" s="599"/>
    </row>
    <row r="929" spans="1:12" s="90" customFormat="1" ht="12.75" customHeight="1">
      <c r="A929" s="112" t="s">
        <v>113</v>
      </c>
      <c r="B929" s="100" t="s">
        <v>201</v>
      </c>
      <c r="C929" s="106"/>
      <c r="D929" s="106"/>
      <c r="E929" s="106"/>
      <c r="F929" s="599"/>
      <c r="G929" s="112" t="s">
        <v>113</v>
      </c>
      <c r="H929" s="100" t="s">
        <v>90</v>
      </c>
      <c r="I929" s="106"/>
      <c r="J929" s="106"/>
      <c r="K929" s="106"/>
      <c r="L929" s="599"/>
    </row>
    <row r="930" spans="1:12" s="90" customFormat="1" ht="12.75" customHeight="1">
      <c r="A930" s="112" t="s">
        <v>56</v>
      </c>
      <c r="B930" s="100" t="s">
        <v>126</v>
      </c>
      <c r="C930" s="101">
        <v>4061044</v>
      </c>
      <c r="D930" s="101">
        <v>4061044</v>
      </c>
      <c r="E930" s="101">
        <v>4061044</v>
      </c>
      <c r="F930" s="102">
        <f>+E930/D930</f>
        <v>1</v>
      </c>
      <c r="G930" s="112" t="s">
        <v>56</v>
      </c>
      <c r="H930" s="100" t="s">
        <v>132</v>
      </c>
      <c r="I930" s="101"/>
      <c r="J930" s="101"/>
      <c r="K930" s="101"/>
      <c r="L930" s="102"/>
    </row>
    <row r="931" spans="1:12" s="90" customFormat="1" ht="12.75" customHeight="1">
      <c r="A931" s="99" t="s">
        <v>64</v>
      </c>
      <c r="B931" s="116" t="s">
        <v>127</v>
      </c>
      <c r="C931" s="101"/>
      <c r="D931" s="101"/>
      <c r="E931" s="101"/>
      <c r="F931" s="102"/>
      <c r="G931" s="99" t="s">
        <v>64</v>
      </c>
      <c r="H931" s="116" t="s">
        <v>133</v>
      </c>
      <c r="I931" s="101"/>
      <c r="J931" s="101"/>
      <c r="K931" s="101"/>
      <c r="L931" s="102"/>
    </row>
    <row r="932" spans="1:12" s="124" customFormat="1" ht="12.75" customHeight="1" thickBot="1">
      <c r="A932" s="117"/>
      <c r="B932" s="118" t="s">
        <v>148</v>
      </c>
      <c r="C932" s="88">
        <f>+C920+C926+C930+C931</f>
        <v>4061044</v>
      </c>
      <c r="D932" s="88">
        <f>+D920+D926+D930+D931</f>
        <v>4061044</v>
      </c>
      <c r="E932" s="88">
        <f>+E920+E926+E930+E931</f>
        <v>4061044</v>
      </c>
      <c r="F932" s="119">
        <f>+E932/D932</f>
        <v>1</v>
      </c>
      <c r="G932" s="117"/>
      <c r="H932" s="118" t="s">
        <v>149</v>
      </c>
      <c r="I932" s="88">
        <f>I920+I926+I930+I931</f>
        <v>4061044</v>
      </c>
      <c r="J932" s="88">
        <f>J920+J926+J930+J931</f>
        <v>4061044</v>
      </c>
      <c r="K932" s="88">
        <f>K920+K926+K930+K931</f>
        <v>865450</v>
      </c>
      <c r="L932" s="119">
        <f>+K932/J932</f>
        <v>0.21311022485843542</v>
      </c>
    </row>
    <row r="933" spans="1:12" s="126" customFormat="1" ht="12.75" customHeight="1">
      <c r="A933" s="124"/>
      <c r="B933" s="124"/>
      <c r="C933" s="93"/>
      <c r="D933" s="93"/>
      <c r="E933" s="93"/>
      <c r="F933" s="93"/>
      <c r="G933" s="124"/>
      <c r="H933" s="124"/>
      <c r="I933" s="93"/>
      <c r="J933" s="93"/>
      <c r="K933" s="93"/>
      <c r="L933" s="93"/>
    </row>
    <row r="934" spans="1:12" s="90" customFormat="1" ht="12.75" customHeight="1" thickBot="1">
      <c r="A934" s="90" t="s">
        <v>282</v>
      </c>
      <c r="B934" s="124"/>
      <c r="C934" s="93"/>
      <c r="D934" s="93"/>
      <c r="E934" s="93"/>
      <c r="F934" s="93"/>
      <c r="G934" s="124"/>
      <c r="H934" s="124"/>
      <c r="I934" s="595"/>
      <c r="J934" s="595"/>
      <c r="K934" s="93"/>
      <c r="L934" s="596" t="s">
        <v>216</v>
      </c>
    </row>
    <row r="935" spans="1:12" s="90" customFormat="1" ht="24.75" customHeight="1">
      <c r="A935" s="96"/>
      <c r="B935" s="97" t="s">
        <v>104</v>
      </c>
      <c r="C935" s="86" t="s">
        <v>227</v>
      </c>
      <c r="D935" s="86" t="s">
        <v>844</v>
      </c>
      <c r="E935" s="86" t="s">
        <v>303</v>
      </c>
      <c r="F935" s="87" t="s">
        <v>304</v>
      </c>
      <c r="G935" s="96">
        <v>115</v>
      </c>
      <c r="H935" s="97" t="s">
        <v>105</v>
      </c>
      <c r="I935" s="86" t="s">
        <v>227</v>
      </c>
      <c r="J935" s="86" t="s">
        <v>844</v>
      </c>
      <c r="K935" s="86" t="s">
        <v>303</v>
      </c>
      <c r="L935" s="87" t="s">
        <v>304</v>
      </c>
    </row>
    <row r="936" spans="1:12" s="90" customFormat="1" ht="12.75" customHeight="1">
      <c r="A936" s="99" t="s">
        <v>23</v>
      </c>
      <c r="B936" s="100" t="s">
        <v>108</v>
      </c>
      <c r="C936" s="101"/>
      <c r="D936" s="101"/>
      <c r="E936" s="101"/>
      <c r="F936" s="102"/>
      <c r="G936" s="99" t="s">
        <v>23</v>
      </c>
      <c r="H936" s="100" t="s">
        <v>129</v>
      </c>
      <c r="I936" s="101">
        <f>SUM(I937:I941)</f>
        <v>7062351</v>
      </c>
      <c r="J936" s="101">
        <f>SUM(J937:J941)</f>
        <v>7062351</v>
      </c>
      <c r="K936" s="101">
        <f>SUM(K937:K941)</f>
        <v>1999448</v>
      </c>
      <c r="L936" s="102">
        <f>+K936/J936</f>
        <v>0.2831136543624071</v>
      </c>
    </row>
    <row r="937" spans="1:12" s="90" customFormat="1" ht="12.75" customHeight="1">
      <c r="A937" s="99" t="s">
        <v>111</v>
      </c>
      <c r="B937" s="116" t="s">
        <v>209</v>
      </c>
      <c r="C937" s="106"/>
      <c r="D937" s="106"/>
      <c r="E937" s="106"/>
      <c r="F937" s="599"/>
      <c r="G937" s="99" t="s">
        <v>111</v>
      </c>
      <c r="H937" s="116" t="s">
        <v>80</v>
      </c>
      <c r="I937" s="106">
        <f>3148870+328</f>
        <v>3149198</v>
      </c>
      <c r="J937" s="106">
        <f>3148870+328</f>
        <v>3149198</v>
      </c>
      <c r="K937" s="106">
        <v>1717660</v>
      </c>
      <c r="L937" s="599">
        <f>+K937/J937</f>
        <v>0.5454277565272174</v>
      </c>
    </row>
    <row r="938" spans="1:12" s="90" customFormat="1" ht="12.75" customHeight="1">
      <c r="A938" s="99"/>
      <c r="B938" s="116" t="s">
        <v>210</v>
      </c>
      <c r="C938" s="106"/>
      <c r="D938" s="106"/>
      <c r="E938" s="106"/>
      <c r="F938" s="599"/>
      <c r="G938" s="99" t="s">
        <v>112</v>
      </c>
      <c r="H938" s="116" t="s">
        <v>147</v>
      </c>
      <c r="I938" s="106">
        <v>641504</v>
      </c>
      <c r="J938" s="106">
        <v>641504</v>
      </c>
      <c r="K938" s="106">
        <v>281788</v>
      </c>
      <c r="L938" s="599">
        <f>+K938/J938</f>
        <v>0.43926148550905375</v>
      </c>
    </row>
    <row r="939" spans="1:12" s="90" customFormat="1" ht="12.75" customHeight="1">
      <c r="A939" s="99" t="s">
        <v>112</v>
      </c>
      <c r="B939" s="116" t="s">
        <v>9</v>
      </c>
      <c r="C939" s="106"/>
      <c r="D939" s="106"/>
      <c r="E939" s="106"/>
      <c r="F939" s="599"/>
      <c r="G939" s="99" t="s">
        <v>113</v>
      </c>
      <c r="H939" s="116" t="s">
        <v>83</v>
      </c>
      <c r="I939" s="106">
        <f>2684285+587364</f>
        <v>3271649</v>
      </c>
      <c r="J939" s="106">
        <f>2684285+587364</f>
        <v>3271649</v>
      </c>
      <c r="K939" s="106">
        <v>0</v>
      </c>
      <c r="L939" s="599">
        <f>+K939/J939</f>
        <v>0</v>
      </c>
    </row>
    <row r="940" spans="1:12" s="90" customFormat="1" ht="12.75" customHeight="1">
      <c r="A940" s="99" t="s">
        <v>113</v>
      </c>
      <c r="B940" s="116" t="s">
        <v>170</v>
      </c>
      <c r="C940" s="106"/>
      <c r="D940" s="106"/>
      <c r="E940" s="106"/>
      <c r="F940" s="599"/>
      <c r="G940" s="99" t="s">
        <v>114</v>
      </c>
      <c r="H940" s="116" t="s">
        <v>84</v>
      </c>
      <c r="I940" s="106"/>
      <c r="J940" s="106"/>
      <c r="K940" s="106"/>
      <c r="L940" s="599"/>
    </row>
    <row r="941" spans="1:12" s="90" customFormat="1" ht="12.75" customHeight="1">
      <c r="A941" s="99" t="s">
        <v>114</v>
      </c>
      <c r="B941" s="116" t="s">
        <v>181</v>
      </c>
      <c r="C941" s="106"/>
      <c r="D941" s="106"/>
      <c r="E941" s="106"/>
      <c r="F941" s="599"/>
      <c r="G941" s="99" t="s">
        <v>115</v>
      </c>
      <c r="H941" s="116" t="s">
        <v>211</v>
      </c>
      <c r="I941" s="106"/>
      <c r="J941" s="106"/>
      <c r="K941" s="106"/>
      <c r="L941" s="599"/>
    </row>
    <row r="942" spans="1:12" s="90" customFormat="1" ht="12.75" customHeight="1">
      <c r="A942" s="112" t="s">
        <v>45</v>
      </c>
      <c r="B942" s="100" t="s">
        <v>118</v>
      </c>
      <c r="C942" s="101"/>
      <c r="D942" s="101"/>
      <c r="E942" s="101"/>
      <c r="F942" s="102"/>
      <c r="G942" s="112" t="s">
        <v>45</v>
      </c>
      <c r="H942" s="100" t="s">
        <v>130</v>
      </c>
      <c r="I942" s="101"/>
      <c r="J942" s="101"/>
      <c r="K942" s="101"/>
      <c r="L942" s="102"/>
    </row>
    <row r="943" spans="1:12" s="90" customFormat="1" ht="12.75" customHeight="1">
      <c r="A943" s="112" t="s">
        <v>111</v>
      </c>
      <c r="B943" s="100" t="s">
        <v>106</v>
      </c>
      <c r="C943" s="106"/>
      <c r="D943" s="106"/>
      <c r="E943" s="106"/>
      <c r="F943" s="599"/>
      <c r="G943" s="112" t="s">
        <v>111</v>
      </c>
      <c r="H943" s="100" t="s">
        <v>131</v>
      </c>
      <c r="I943" s="106"/>
      <c r="J943" s="106"/>
      <c r="K943" s="106"/>
      <c r="L943" s="599"/>
    </row>
    <row r="944" spans="1:12" s="90" customFormat="1" ht="12.75" customHeight="1">
      <c r="A944" s="112" t="s">
        <v>112</v>
      </c>
      <c r="B944" s="100" t="s">
        <v>39</v>
      </c>
      <c r="C944" s="106"/>
      <c r="D944" s="106"/>
      <c r="E944" s="106"/>
      <c r="F944" s="599"/>
      <c r="G944" s="112" t="s">
        <v>112</v>
      </c>
      <c r="H944" s="100" t="s">
        <v>87</v>
      </c>
      <c r="I944" s="106"/>
      <c r="J944" s="106"/>
      <c r="K944" s="106"/>
      <c r="L944" s="599"/>
    </row>
    <row r="945" spans="1:12" s="90" customFormat="1" ht="12.75" customHeight="1">
      <c r="A945" s="112" t="s">
        <v>113</v>
      </c>
      <c r="B945" s="100" t="s">
        <v>201</v>
      </c>
      <c r="C945" s="106"/>
      <c r="D945" s="106"/>
      <c r="E945" s="106"/>
      <c r="F945" s="599"/>
      <c r="G945" s="112" t="s">
        <v>113</v>
      </c>
      <c r="H945" s="100" t="s">
        <v>90</v>
      </c>
      <c r="I945" s="106"/>
      <c r="J945" s="106"/>
      <c r="K945" s="106"/>
      <c r="L945" s="599"/>
    </row>
    <row r="946" spans="1:12" s="90" customFormat="1" ht="12.75" customHeight="1">
      <c r="A946" s="112" t="s">
        <v>56</v>
      </c>
      <c r="B946" s="100" t="s">
        <v>126</v>
      </c>
      <c r="C946" s="101">
        <v>7062351</v>
      </c>
      <c r="D946" s="101">
        <v>7062351</v>
      </c>
      <c r="E946" s="101">
        <v>0</v>
      </c>
      <c r="F946" s="102">
        <f>+E946/D946+IF(F946=0/0,0%)</f>
        <v>0</v>
      </c>
      <c r="G946" s="112" t="s">
        <v>56</v>
      </c>
      <c r="H946" s="100" t="s">
        <v>132</v>
      </c>
      <c r="I946" s="101"/>
      <c r="J946" s="101"/>
      <c r="K946" s="101"/>
      <c r="L946" s="102"/>
    </row>
    <row r="947" spans="1:12" s="90" customFormat="1" ht="12.75" customHeight="1">
      <c r="A947" s="99" t="s">
        <v>64</v>
      </c>
      <c r="B947" s="116" t="s">
        <v>127</v>
      </c>
      <c r="C947" s="101"/>
      <c r="D947" s="101"/>
      <c r="E947" s="101"/>
      <c r="F947" s="102"/>
      <c r="G947" s="99" t="s">
        <v>64</v>
      </c>
      <c r="H947" s="116" t="s">
        <v>133</v>
      </c>
      <c r="I947" s="101"/>
      <c r="J947" s="101"/>
      <c r="K947" s="101"/>
      <c r="L947" s="102"/>
    </row>
    <row r="948" spans="1:12" s="124" customFormat="1" ht="12.75" customHeight="1" thickBot="1">
      <c r="A948" s="117"/>
      <c r="B948" s="118" t="s">
        <v>148</v>
      </c>
      <c r="C948" s="88">
        <f>+C936+C942+C946+C947</f>
        <v>7062351</v>
      </c>
      <c r="D948" s="88">
        <f>+D936+D942+D946+D947</f>
        <v>7062351</v>
      </c>
      <c r="E948" s="88">
        <f>+E936+E942+E946+E947</f>
        <v>0</v>
      </c>
      <c r="F948" s="119">
        <f>+E948/D948</f>
        <v>0</v>
      </c>
      <c r="G948" s="117"/>
      <c r="H948" s="118" t="s">
        <v>149</v>
      </c>
      <c r="I948" s="88">
        <f>I936+I942+I946+I947</f>
        <v>7062351</v>
      </c>
      <c r="J948" s="88">
        <f>J936+J942+J946+J947</f>
        <v>7062351</v>
      </c>
      <c r="K948" s="88">
        <f>K936+K942+K946+K947</f>
        <v>1999448</v>
      </c>
      <c r="L948" s="119">
        <f>+K948/J948</f>
        <v>0.2831136543624071</v>
      </c>
    </row>
    <row r="949" spans="1:12" s="126" customFormat="1" ht="12.75" customHeight="1">
      <c r="A949" s="124"/>
      <c r="B949" s="124"/>
      <c r="C949" s="93"/>
      <c r="D949" s="93"/>
      <c r="E949" s="93"/>
      <c r="F949" s="93"/>
      <c r="G949" s="124"/>
      <c r="H949" s="124"/>
      <c r="I949" s="93"/>
      <c r="J949" s="93"/>
      <c r="K949" s="93"/>
      <c r="L949" s="93"/>
    </row>
    <row r="950" spans="1:12" s="90" customFormat="1" ht="12.75" customHeight="1" thickBot="1">
      <c r="A950" s="90" t="s">
        <v>279</v>
      </c>
      <c r="B950" s="124"/>
      <c r="C950" s="93"/>
      <c r="D950" s="93"/>
      <c r="E950" s="638"/>
      <c r="F950" s="638"/>
      <c r="G950" s="124"/>
      <c r="H950" s="124"/>
      <c r="I950" s="595"/>
      <c r="J950" s="595"/>
      <c r="K950" s="638"/>
      <c r="L950" s="596" t="s">
        <v>216</v>
      </c>
    </row>
    <row r="951" spans="1:12" s="90" customFormat="1" ht="24.75" customHeight="1">
      <c r="A951" s="96"/>
      <c r="B951" s="97" t="s">
        <v>104</v>
      </c>
      <c r="C951" s="86" t="s">
        <v>227</v>
      </c>
      <c r="D951" s="86" t="s">
        <v>844</v>
      </c>
      <c r="E951" s="86" t="s">
        <v>303</v>
      </c>
      <c r="F951" s="87" t="s">
        <v>304</v>
      </c>
      <c r="G951" s="96">
        <v>73</v>
      </c>
      <c r="H951" s="97" t="s">
        <v>105</v>
      </c>
      <c r="I951" s="86" t="s">
        <v>227</v>
      </c>
      <c r="J951" s="86" t="s">
        <v>844</v>
      </c>
      <c r="K951" s="86" t="s">
        <v>303</v>
      </c>
      <c r="L951" s="87" t="s">
        <v>304</v>
      </c>
    </row>
    <row r="952" spans="1:12" s="90" customFormat="1" ht="12.75" customHeight="1">
      <c r="A952" s="99" t="s">
        <v>23</v>
      </c>
      <c r="B952" s="100" t="s">
        <v>108</v>
      </c>
      <c r="C952" s="101"/>
      <c r="D952" s="101"/>
      <c r="E952" s="101"/>
      <c r="F952" s="102"/>
      <c r="G952" s="99" t="s">
        <v>23</v>
      </c>
      <c r="H952" s="100" t="s">
        <v>129</v>
      </c>
      <c r="I952" s="101">
        <f>SUM(I953:I957)</f>
        <v>4863</v>
      </c>
      <c r="J952" s="101">
        <f>SUM(J953:J957)</f>
        <v>4863</v>
      </c>
      <c r="K952" s="101">
        <f>SUM(K953:K957)</f>
        <v>4863</v>
      </c>
      <c r="L952" s="102">
        <f>K952/J952</f>
        <v>1</v>
      </c>
    </row>
    <row r="953" spans="1:12" s="90" customFormat="1" ht="12.75" customHeight="1">
      <c r="A953" s="99" t="s">
        <v>111</v>
      </c>
      <c r="B953" s="116" t="s">
        <v>209</v>
      </c>
      <c r="C953" s="106"/>
      <c r="D953" s="106"/>
      <c r="E953" s="106"/>
      <c r="F953" s="599"/>
      <c r="G953" s="99" t="s">
        <v>111</v>
      </c>
      <c r="H953" s="116" t="s">
        <v>80</v>
      </c>
      <c r="I953" s="106">
        <v>1160</v>
      </c>
      <c r="J953" s="106">
        <v>1160</v>
      </c>
      <c r="K953" s="106">
        <v>1160</v>
      </c>
      <c r="L953" s="599">
        <f>K953/J953</f>
        <v>1</v>
      </c>
    </row>
    <row r="954" spans="1:12" s="90" customFormat="1" ht="12.75" customHeight="1">
      <c r="A954" s="99"/>
      <c r="B954" s="116" t="s">
        <v>210</v>
      </c>
      <c r="C954" s="106"/>
      <c r="D954" s="106"/>
      <c r="E954" s="106"/>
      <c r="F954" s="599"/>
      <c r="G954" s="99" t="s">
        <v>112</v>
      </c>
      <c r="H954" s="116" t="s">
        <v>147</v>
      </c>
      <c r="I954" s="106">
        <v>203</v>
      </c>
      <c r="J954" s="106">
        <v>203</v>
      </c>
      <c r="K954" s="106">
        <v>203</v>
      </c>
      <c r="L954" s="599">
        <f>K954/J954</f>
        <v>1</v>
      </c>
    </row>
    <row r="955" spans="1:12" s="90" customFormat="1" ht="12.75" customHeight="1">
      <c r="A955" s="99" t="s">
        <v>112</v>
      </c>
      <c r="B955" s="116" t="s">
        <v>9</v>
      </c>
      <c r="C955" s="106"/>
      <c r="D955" s="106"/>
      <c r="E955" s="106"/>
      <c r="F955" s="599"/>
      <c r="G955" s="99" t="s">
        <v>113</v>
      </c>
      <c r="H955" s="116" t="s">
        <v>83</v>
      </c>
      <c r="I955" s="106"/>
      <c r="J955" s="106"/>
      <c r="K955" s="106"/>
      <c r="L955" s="599"/>
    </row>
    <row r="956" spans="1:12" s="90" customFormat="1" ht="12.75" customHeight="1">
      <c r="A956" s="99" t="s">
        <v>113</v>
      </c>
      <c r="B956" s="116" t="s">
        <v>170</v>
      </c>
      <c r="C956" s="106"/>
      <c r="D956" s="106"/>
      <c r="E956" s="106"/>
      <c r="F956" s="599"/>
      <c r="G956" s="99" t="s">
        <v>114</v>
      </c>
      <c r="H956" s="116" t="s">
        <v>84</v>
      </c>
      <c r="I956" s="106"/>
      <c r="J956" s="106"/>
      <c r="K956" s="106"/>
      <c r="L956" s="599"/>
    </row>
    <row r="957" spans="1:12" s="90" customFormat="1" ht="12.75" customHeight="1">
      <c r="A957" s="99" t="s">
        <v>114</v>
      </c>
      <c r="B957" s="116" t="s">
        <v>181</v>
      </c>
      <c r="C957" s="106"/>
      <c r="D957" s="106"/>
      <c r="E957" s="106"/>
      <c r="F957" s="599"/>
      <c r="G957" s="99" t="s">
        <v>115</v>
      </c>
      <c r="H957" s="116" t="s">
        <v>211</v>
      </c>
      <c r="I957" s="106">
        <v>3500</v>
      </c>
      <c r="J957" s="106">
        <v>3500</v>
      </c>
      <c r="K957" s="106">
        <v>3500</v>
      </c>
      <c r="L957" s="599">
        <f>K957/J957</f>
        <v>1</v>
      </c>
    </row>
    <row r="958" spans="1:12" s="90" customFormat="1" ht="12.75" customHeight="1">
      <c r="A958" s="112" t="s">
        <v>45</v>
      </c>
      <c r="B958" s="100" t="s">
        <v>118</v>
      </c>
      <c r="C958" s="101"/>
      <c r="D958" s="101"/>
      <c r="E958" s="101"/>
      <c r="F958" s="102"/>
      <c r="G958" s="112" t="s">
        <v>45</v>
      </c>
      <c r="H958" s="100" t="s">
        <v>130</v>
      </c>
      <c r="I958" s="101"/>
      <c r="J958" s="101"/>
      <c r="K958" s="101"/>
      <c r="L958" s="102"/>
    </row>
    <row r="959" spans="1:12" s="90" customFormat="1" ht="12.75" customHeight="1">
      <c r="A959" s="112" t="s">
        <v>111</v>
      </c>
      <c r="B959" s="100" t="s">
        <v>106</v>
      </c>
      <c r="C959" s="106"/>
      <c r="D959" s="106"/>
      <c r="E959" s="106"/>
      <c r="F959" s="599"/>
      <c r="G959" s="112" t="s">
        <v>111</v>
      </c>
      <c r="H959" s="100" t="s">
        <v>131</v>
      </c>
      <c r="I959" s="106"/>
      <c r="J959" s="106"/>
      <c r="K959" s="106"/>
      <c r="L959" s="599"/>
    </row>
    <row r="960" spans="1:12" s="90" customFormat="1" ht="12.75" customHeight="1">
      <c r="A960" s="112" t="s">
        <v>112</v>
      </c>
      <c r="B960" s="100" t="s">
        <v>39</v>
      </c>
      <c r="C960" s="106"/>
      <c r="D960" s="106"/>
      <c r="E960" s="106"/>
      <c r="F960" s="599"/>
      <c r="G960" s="112" t="s">
        <v>112</v>
      </c>
      <c r="H960" s="100" t="s">
        <v>87</v>
      </c>
      <c r="I960" s="106"/>
      <c r="J960" s="106"/>
      <c r="K960" s="106"/>
      <c r="L960" s="599"/>
    </row>
    <row r="961" spans="1:12" s="90" customFormat="1" ht="12.75" customHeight="1">
      <c r="A961" s="112" t="s">
        <v>113</v>
      </c>
      <c r="B961" s="100" t="s">
        <v>201</v>
      </c>
      <c r="C961" s="106"/>
      <c r="D961" s="106"/>
      <c r="E961" s="106"/>
      <c r="F961" s="599"/>
      <c r="G961" s="112" t="s">
        <v>113</v>
      </c>
      <c r="H961" s="100" t="s">
        <v>90</v>
      </c>
      <c r="I961" s="106"/>
      <c r="J961" s="106"/>
      <c r="K961" s="106"/>
      <c r="L961" s="599"/>
    </row>
    <row r="962" spans="1:12" s="90" customFormat="1" ht="12.75" customHeight="1">
      <c r="A962" s="112" t="s">
        <v>56</v>
      </c>
      <c r="B962" s="100" t="s">
        <v>126</v>
      </c>
      <c r="C962" s="101">
        <v>4863</v>
      </c>
      <c r="D962" s="101">
        <v>4863</v>
      </c>
      <c r="E962" s="101">
        <v>4863</v>
      </c>
      <c r="F962" s="102">
        <f>+E962/D962</f>
        <v>1</v>
      </c>
      <c r="G962" s="112" t="s">
        <v>56</v>
      </c>
      <c r="H962" s="100" t="s">
        <v>132</v>
      </c>
      <c r="I962" s="101"/>
      <c r="J962" s="101"/>
      <c r="K962" s="101"/>
      <c r="L962" s="102"/>
    </row>
    <row r="963" spans="1:12" s="90" customFormat="1" ht="12.75" customHeight="1">
      <c r="A963" s="99" t="s">
        <v>64</v>
      </c>
      <c r="B963" s="116" t="s">
        <v>127</v>
      </c>
      <c r="C963" s="101"/>
      <c r="D963" s="101"/>
      <c r="E963" s="101"/>
      <c r="F963" s="102"/>
      <c r="G963" s="99" t="s">
        <v>64</v>
      </c>
      <c r="H963" s="116" t="s">
        <v>133</v>
      </c>
      <c r="I963" s="101"/>
      <c r="J963" s="101"/>
      <c r="K963" s="101"/>
      <c r="L963" s="102"/>
    </row>
    <row r="964" spans="1:12" s="124" customFormat="1" ht="12.75" customHeight="1" thickBot="1">
      <c r="A964" s="117"/>
      <c r="B964" s="118" t="s">
        <v>148</v>
      </c>
      <c r="C964" s="88">
        <f>+C952+C958+C962+C963</f>
        <v>4863</v>
      </c>
      <c r="D964" s="88">
        <f>+D952+D958+D962+D963</f>
        <v>4863</v>
      </c>
      <c r="E964" s="88">
        <f>+E952+E958+E962+E963</f>
        <v>4863</v>
      </c>
      <c r="F964" s="119">
        <f>+E964/D964</f>
        <v>1</v>
      </c>
      <c r="G964" s="117"/>
      <c r="H964" s="118" t="s">
        <v>149</v>
      </c>
      <c r="I964" s="88">
        <f>I952+I958+I962+I963</f>
        <v>4863</v>
      </c>
      <c r="J964" s="88">
        <f>J952+J958+J962+J963</f>
        <v>4863</v>
      </c>
      <c r="K964" s="88">
        <f>K952+K958+K962+K963</f>
        <v>4863</v>
      </c>
      <c r="L964" s="119">
        <f>K964/J964</f>
        <v>1</v>
      </c>
    </row>
    <row r="965" spans="1:12" s="126" customFormat="1" ht="24" customHeight="1">
      <c r="A965" s="124"/>
      <c r="B965" s="124"/>
      <c r="C965" s="93"/>
      <c r="D965" s="93"/>
      <c r="E965" s="595"/>
      <c r="F965" s="595"/>
      <c r="G965" s="124"/>
      <c r="H965" s="124"/>
      <c r="I965" s="93"/>
      <c r="J965" s="93"/>
      <c r="K965" s="595"/>
      <c r="L965" s="595"/>
    </row>
    <row r="966" spans="1:12" s="90" customFormat="1" ht="12.75" customHeight="1" thickBot="1">
      <c r="A966" s="90" t="s">
        <v>811</v>
      </c>
      <c r="B966" s="124"/>
      <c r="E966" s="93"/>
      <c r="F966" s="93"/>
      <c r="G966" s="124"/>
      <c r="H966" s="124"/>
      <c r="I966" s="595"/>
      <c r="J966" s="595"/>
      <c r="K966" s="93"/>
      <c r="L966" s="596" t="s">
        <v>216</v>
      </c>
    </row>
    <row r="967" spans="1:12" s="90" customFormat="1" ht="24.75" customHeight="1">
      <c r="A967" s="96"/>
      <c r="B967" s="97" t="s">
        <v>104</v>
      </c>
      <c r="C967" s="86" t="s">
        <v>227</v>
      </c>
      <c r="D967" s="86" t="s">
        <v>844</v>
      </c>
      <c r="E967" s="86" t="s">
        <v>303</v>
      </c>
      <c r="F967" s="87" t="s">
        <v>304</v>
      </c>
      <c r="G967" s="96">
        <v>74</v>
      </c>
      <c r="H967" s="97" t="s">
        <v>105</v>
      </c>
      <c r="I967" s="86" t="s">
        <v>227</v>
      </c>
      <c r="J967" s="86" t="s">
        <v>844</v>
      </c>
      <c r="K967" s="86" t="s">
        <v>303</v>
      </c>
      <c r="L967" s="87" t="s">
        <v>304</v>
      </c>
    </row>
    <row r="968" spans="1:12" s="90" customFormat="1" ht="12.75" customHeight="1">
      <c r="A968" s="99" t="s">
        <v>23</v>
      </c>
      <c r="B968" s="100" t="s">
        <v>108</v>
      </c>
      <c r="C968" s="101"/>
      <c r="D968" s="101"/>
      <c r="E968" s="101"/>
      <c r="F968" s="102"/>
      <c r="G968" s="99" t="s">
        <v>23</v>
      </c>
      <c r="H968" s="100" t="s">
        <v>129</v>
      </c>
      <c r="I968" s="101">
        <f>SUM(I969:I973)</f>
        <v>1523786</v>
      </c>
      <c r="J968" s="101">
        <f>SUM(J969:J973)</f>
        <v>1523786</v>
      </c>
      <c r="K968" s="101">
        <f>SUM(K969:K973)</f>
        <v>969822</v>
      </c>
      <c r="L968" s="102">
        <f>+K968/J968</f>
        <v>0.6364555127819785</v>
      </c>
    </row>
    <row r="969" spans="1:12" s="90" customFormat="1" ht="12.75" customHeight="1">
      <c r="A969" s="99" t="s">
        <v>111</v>
      </c>
      <c r="B969" s="116" t="s">
        <v>209</v>
      </c>
      <c r="C969" s="106"/>
      <c r="D969" s="106"/>
      <c r="E969" s="106"/>
      <c r="F969" s="599"/>
      <c r="G969" s="99" t="s">
        <v>111</v>
      </c>
      <c r="H969" s="116" t="s">
        <v>80</v>
      </c>
      <c r="I969" s="106">
        <v>14742</v>
      </c>
      <c r="J969" s="106">
        <v>14742</v>
      </c>
      <c r="K969" s="106">
        <v>14742</v>
      </c>
      <c r="L969" s="599">
        <f>+K969/J969</f>
        <v>1</v>
      </c>
    </row>
    <row r="970" spans="1:12" s="90" customFormat="1" ht="12.75" customHeight="1">
      <c r="A970" s="99"/>
      <c r="B970" s="116" t="s">
        <v>210</v>
      </c>
      <c r="C970" s="106"/>
      <c r="D970" s="106"/>
      <c r="E970" s="106"/>
      <c r="F970" s="599"/>
      <c r="G970" s="99" t="s">
        <v>112</v>
      </c>
      <c r="H970" s="116" t="s">
        <v>147</v>
      </c>
      <c r="I970" s="106">
        <v>2580</v>
      </c>
      <c r="J970" s="106">
        <v>2580</v>
      </c>
      <c r="K970" s="106">
        <v>2580</v>
      </c>
      <c r="L970" s="599">
        <f>+K970/J970</f>
        <v>1</v>
      </c>
    </row>
    <row r="971" spans="1:12" s="90" customFormat="1" ht="12.75" customHeight="1">
      <c r="A971" s="99" t="s">
        <v>112</v>
      </c>
      <c r="B971" s="116" t="s">
        <v>9</v>
      </c>
      <c r="C971" s="106"/>
      <c r="D971" s="106"/>
      <c r="E971" s="106"/>
      <c r="F971" s="599"/>
      <c r="G971" s="99" t="s">
        <v>113</v>
      </c>
      <c r="H971" s="116" t="s">
        <v>83</v>
      </c>
      <c r="I971" s="106">
        <v>1506464</v>
      </c>
      <c r="J971" s="106">
        <v>1506464</v>
      </c>
      <c r="K971" s="106">
        <v>952500</v>
      </c>
      <c r="L971" s="599">
        <f>+K971/J971</f>
        <v>0.6322753149096162</v>
      </c>
    </row>
    <row r="972" spans="1:12" s="90" customFormat="1" ht="12.75" customHeight="1">
      <c r="A972" s="99" t="s">
        <v>113</v>
      </c>
      <c r="B972" s="116" t="s">
        <v>170</v>
      </c>
      <c r="C972" s="106"/>
      <c r="D972" s="106"/>
      <c r="E972" s="106"/>
      <c r="F972" s="599"/>
      <c r="G972" s="99" t="s">
        <v>114</v>
      </c>
      <c r="H972" s="116" t="s">
        <v>84</v>
      </c>
      <c r="I972" s="106"/>
      <c r="J972" s="106"/>
      <c r="K972" s="106"/>
      <c r="L972" s="599"/>
    </row>
    <row r="973" spans="1:12" s="90" customFormat="1" ht="12.75" customHeight="1">
      <c r="A973" s="99" t="s">
        <v>114</v>
      </c>
      <c r="B973" s="116" t="s">
        <v>181</v>
      </c>
      <c r="C973" s="106"/>
      <c r="D973" s="106"/>
      <c r="E973" s="106"/>
      <c r="F973" s="599"/>
      <c r="G973" s="99" t="s">
        <v>115</v>
      </c>
      <c r="H973" s="116" t="s">
        <v>211</v>
      </c>
      <c r="I973" s="106"/>
      <c r="J973" s="106"/>
      <c r="K973" s="106"/>
      <c r="L973" s="599"/>
    </row>
    <row r="974" spans="1:12" s="90" customFormat="1" ht="12.75" customHeight="1">
      <c r="A974" s="112" t="s">
        <v>45</v>
      </c>
      <c r="B974" s="100" t="s">
        <v>118</v>
      </c>
      <c r="C974" s="101"/>
      <c r="D974" s="101"/>
      <c r="E974" s="101"/>
      <c r="F974" s="102"/>
      <c r="G974" s="112" t="s">
        <v>45</v>
      </c>
      <c r="H974" s="100" t="s">
        <v>130</v>
      </c>
      <c r="I974" s="101"/>
      <c r="J974" s="101"/>
      <c r="K974" s="101"/>
      <c r="L974" s="102"/>
    </row>
    <row r="975" spans="1:12" s="90" customFormat="1" ht="12.75" customHeight="1">
      <c r="A975" s="112" t="s">
        <v>111</v>
      </c>
      <c r="B975" s="100" t="s">
        <v>106</v>
      </c>
      <c r="C975" s="106"/>
      <c r="D975" s="106"/>
      <c r="E975" s="106"/>
      <c r="F975" s="599"/>
      <c r="G975" s="112" t="s">
        <v>111</v>
      </c>
      <c r="H975" s="100" t="s">
        <v>131</v>
      </c>
      <c r="I975" s="106"/>
      <c r="J975" s="106"/>
      <c r="K975" s="106"/>
      <c r="L975" s="599"/>
    </row>
    <row r="976" spans="1:12" s="90" customFormat="1" ht="12.75" customHeight="1">
      <c r="A976" s="112" t="s">
        <v>112</v>
      </c>
      <c r="B976" s="100" t="s">
        <v>39</v>
      </c>
      <c r="C976" s="106"/>
      <c r="D976" s="106"/>
      <c r="E976" s="106"/>
      <c r="F976" s="599"/>
      <c r="G976" s="112" t="s">
        <v>112</v>
      </c>
      <c r="H976" s="100" t="s">
        <v>87</v>
      </c>
      <c r="I976" s="106"/>
      <c r="J976" s="106"/>
      <c r="K976" s="106"/>
      <c r="L976" s="599"/>
    </row>
    <row r="977" spans="1:12" s="90" customFormat="1" ht="12.75" customHeight="1">
      <c r="A977" s="112" t="s">
        <v>113</v>
      </c>
      <c r="B977" s="100" t="s">
        <v>201</v>
      </c>
      <c r="C977" s="106"/>
      <c r="D977" s="106"/>
      <c r="E977" s="106"/>
      <c r="F977" s="599"/>
      <c r="G977" s="112" t="s">
        <v>113</v>
      </c>
      <c r="H977" s="100" t="s">
        <v>90</v>
      </c>
      <c r="I977" s="106"/>
      <c r="J977" s="106"/>
      <c r="K977" s="106"/>
      <c r="L977" s="599"/>
    </row>
    <row r="978" spans="1:12" s="90" customFormat="1" ht="12.75" customHeight="1">
      <c r="A978" s="112" t="s">
        <v>56</v>
      </c>
      <c r="B978" s="100" t="s">
        <v>126</v>
      </c>
      <c r="C978" s="101">
        <v>1523786</v>
      </c>
      <c r="D978" s="101">
        <v>1523786</v>
      </c>
      <c r="E978" s="101">
        <v>1523786</v>
      </c>
      <c r="F978" s="102">
        <f>+E978/D978</f>
        <v>1</v>
      </c>
      <c r="G978" s="112" t="s">
        <v>56</v>
      </c>
      <c r="H978" s="100" t="s">
        <v>132</v>
      </c>
      <c r="I978" s="101"/>
      <c r="J978" s="101"/>
      <c r="K978" s="101"/>
      <c r="L978" s="102"/>
    </row>
    <row r="979" spans="1:12" s="90" customFormat="1" ht="12.75" customHeight="1">
      <c r="A979" s="99" t="s">
        <v>64</v>
      </c>
      <c r="B979" s="116" t="s">
        <v>127</v>
      </c>
      <c r="C979" s="101"/>
      <c r="D979" s="101"/>
      <c r="E979" s="101"/>
      <c r="F979" s="102"/>
      <c r="G979" s="99" t="s">
        <v>64</v>
      </c>
      <c r="H979" s="116" t="s">
        <v>133</v>
      </c>
      <c r="I979" s="101"/>
      <c r="J979" s="101"/>
      <c r="K979" s="101"/>
      <c r="L979" s="102"/>
    </row>
    <row r="980" spans="1:12" s="124" customFormat="1" ht="12.75" customHeight="1" thickBot="1">
      <c r="A980" s="117"/>
      <c r="B980" s="118" t="s">
        <v>148</v>
      </c>
      <c r="C980" s="88">
        <f>+C968+C974+C978+C979</f>
        <v>1523786</v>
      </c>
      <c r="D980" s="88">
        <f>+D968+D974+D978+D979</f>
        <v>1523786</v>
      </c>
      <c r="E980" s="88">
        <f>+E968+E974+E978+E979</f>
        <v>1523786</v>
      </c>
      <c r="F980" s="119">
        <f>+E980/D980</f>
        <v>1</v>
      </c>
      <c r="G980" s="117"/>
      <c r="H980" s="118" t="s">
        <v>149</v>
      </c>
      <c r="I980" s="88">
        <f>I968+I974+I978+I979</f>
        <v>1523786</v>
      </c>
      <c r="J980" s="88">
        <f>J968+J974+J978+J979</f>
        <v>1523786</v>
      </c>
      <c r="K980" s="88">
        <f>K968+K974+K978+K979</f>
        <v>969822</v>
      </c>
      <c r="L980" s="119">
        <f>+K980/J980</f>
        <v>0.6364555127819785</v>
      </c>
    </row>
    <row r="981" spans="1:12" s="126" customFormat="1" ht="12.75" customHeight="1">
      <c r="A981" s="124"/>
      <c r="B981" s="124"/>
      <c r="C981" s="93"/>
      <c r="D981" s="93"/>
      <c r="E981" s="93"/>
      <c r="F981" s="93"/>
      <c r="G981" s="124"/>
      <c r="H981" s="124"/>
      <c r="I981" s="93"/>
      <c r="J981" s="93"/>
      <c r="K981" s="93"/>
      <c r="L981" s="93"/>
    </row>
    <row r="982" spans="1:12" s="90" customFormat="1" ht="12.75" customHeight="1" thickBot="1">
      <c r="A982" s="90" t="s">
        <v>258</v>
      </c>
      <c r="B982" s="124"/>
      <c r="E982" s="93"/>
      <c r="F982" s="93"/>
      <c r="G982" s="124"/>
      <c r="H982" s="124"/>
      <c r="I982" s="595"/>
      <c r="J982" s="595"/>
      <c r="K982" s="93"/>
      <c r="L982" s="596" t="s">
        <v>216</v>
      </c>
    </row>
    <row r="983" spans="1:12" s="90" customFormat="1" ht="24.75" customHeight="1">
      <c r="A983" s="96"/>
      <c r="B983" s="97" t="s">
        <v>104</v>
      </c>
      <c r="C983" s="86" t="s">
        <v>227</v>
      </c>
      <c r="D983" s="86" t="s">
        <v>844</v>
      </c>
      <c r="E983" s="86" t="s">
        <v>303</v>
      </c>
      <c r="F983" s="87" t="s">
        <v>304</v>
      </c>
      <c r="G983" s="96">
        <v>75</v>
      </c>
      <c r="H983" s="97" t="s">
        <v>105</v>
      </c>
      <c r="I983" s="86" t="s">
        <v>227</v>
      </c>
      <c r="J983" s="86" t="s">
        <v>844</v>
      </c>
      <c r="K983" s="86" t="s">
        <v>303</v>
      </c>
      <c r="L983" s="87" t="s">
        <v>304</v>
      </c>
    </row>
    <row r="984" spans="1:12" s="90" customFormat="1" ht="12.75" customHeight="1">
      <c r="A984" s="99" t="s">
        <v>23</v>
      </c>
      <c r="B984" s="100" t="s">
        <v>108</v>
      </c>
      <c r="C984" s="101"/>
      <c r="D984" s="101"/>
      <c r="E984" s="101"/>
      <c r="F984" s="102"/>
      <c r="G984" s="99" t="s">
        <v>23</v>
      </c>
      <c r="H984" s="100" t="s">
        <v>129</v>
      </c>
      <c r="I984" s="101">
        <f>SUM(I985:I989)</f>
        <v>542361</v>
      </c>
      <c r="J984" s="101">
        <f>SUM(J985:J989)</f>
        <v>542361</v>
      </c>
      <c r="K984" s="101">
        <f>SUM(K985:K989)</f>
        <v>121025</v>
      </c>
      <c r="L984" s="102">
        <f>+K984/J984</f>
        <v>0.2231447320142857</v>
      </c>
    </row>
    <row r="985" spans="1:12" s="90" customFormat="1" ht="12.75" customHeight="1">
      <c r="A985" s="99" t="s">
        <v>111</v>
      </c>
      <c r="B985" s="116" t="s">
        <v>209</v>
      </c>
      <c r="C985" s="106"/>
      <c r="D985" s="106"/>
      <c r="E985" s="106"/>
      <c r="F985" s="599"/>
      <c r="G985" s="99" t="s">
        <v>111</v>
      </c>
      <c r="H985" s="116" t="s">
        <v>80</v>
      </c>
      <c r="I985" s="106">
        <v>122833</v>
      </c>
      <c r="J985" s="106">
        <v>122833</v>
      </c>
      <c r="K985" s="106">
        <v>103000</v>
      </c>
      <c r="L985" s="599">
        <f>+K985/J985</f>
        <v>0.8385368752696751</v>
      </c>
    </row>
    <row r="986" spans="1:12" s="90" customFormat="1" ht="12.75" customHeight="1">
      <c r="A986" s="99"/>
      <c r="B986" s="116" t="s">
        <v>210</v>
      </c>
      <c r="C986" s="106"/>
      <c r="D986" s="106"/>
      <c r="E986" s="106"/>
      <c r="F986" s="599"/>
      <c r="G986" s="99" t="s">
        <v>112</v>
      </c>
      <c r="H986" s="116" t="s">
        <v>147</v>
      </c>
      <c r="I986" s="106">
        <v>21496</v>
      </c>
      <c r="J986" s="106">
        <v>21496</v>
      </c>
      <c r="K986" s="106">
        <v>18025</v>
      </c>
      <c r="L986" s="599">
        <f>+K986/J986</f>
        <v>0.8385280982508374</v>
      </c>
    </row>
    <row r="987" spans="1:12" s="90" customFormat="1" ht="12.75" customHeight="1">
      <c r="A987" s="99" t="s">
        <v>112</v>
      </c>
      <c r="B987" s="116" t="s">
        <v>9</v>
      </c>
      <c r="C987" s="106"/>
      <c r="D987" s="106"/>
      <c r="E987" s="106"/>
      <c r="F987" s="599"/>
      <c r="G987" s="99" t="s">
        <v>113</v>
      </c>
      <c r="H987" s="116" t="s">
        <v>83</v>
      </c>
      <c r="I987" s="106">
        <f>85000+311000+2032</f>
        <v>398032</v>
      </c>
      <c r="J987" s="106">
        <f>85000+311000+2032</f>
        <v>398032</v>
      </c>
      <c r="K987" s="106">
        <v>0</v>
      </c>
      <c r="L987" s="599">
        <f>+K987/J987</f>
        <v>0</v>
      </c>
    </row>
    <row r="988" spans="1:12" s="90" customFormat="1" ht="12.75" customHeight="1">
      <c r="A988" s="99" t="s">
        <v>113</v>
      </c>
      <c r="B988" s="116" t="s">
        <v>170</v>
      </c>
      <c r="C988" s="106"/>
      <c r="D988" s="106"/>
      <c r="E988" s="106"/>
      <c r="F988" s="599"/>
      <c r="G988" s="99" t="s">
        <v>114</v>
      </c>
      <c r="H988" s="116" t="s">
        <v>84</v>
      </c>
      <c r="I988" s="106"/>
      <c r="J988" s="106"/>
      <c r="K988" s="106"/>
      <c r="L988" s="599"/>
    </row>
    <row r="989" spans="1:12" s="90" customFormat="1" ht="12.75" customHeight="1">
      <c r="A989" s="99" t="s">
        <v>114</v>
      </c>
      <c r="B989" s="116" t="s">
        <v>181</v>
      </c>
      <c r="C989" s="106"/>
      <c r="D989" s="106"/>
      <c r="E989" s="106"/>
      <c r="F989" s="599"/>
      <c r="G989" s="99" t="s">
        <v>115</v>
      </c>
      <c r="H989" s="116" t="s">
        <v>211</v>
      </c>
      <c r="I989" s="106"/>
      <c r="J989" s="106"/>
      <c r="K989" s="106"/>
      <c r="L989" s="599"/>
    </row>
    <row r="990" spans="1:12" s="90" customFormat="1" ht="12.75" customHeight="1">
      <c r="A990" s="112" t="s">
        <v>45</v>
      </c>
      <c r="B990" s="100" t="s">
        <v>118</v>
      </c>
      <c r="C990" s="101"/>
      <c r="D990" s="101"/>
      <c r="E990" s="101"/>
      <c r="F990" s="102"/>
      <c r="G990" s="112" t="s">
        <v>45</v>
      </c>
      <c r="H990" s="100" t="s">
        <v>130</v>
      </c>
      <c r="I990" s="101"/>
      <c r="J990" s="101"/>
      <c r="K990" s="101"/>
      <c r="L990" s="102"/>
    </row>
    <row r="991" spans="1:12" s="90" customFormat="1" ht="12.75" customHeight="1">
      <c r="A991" s="112" t="s">
        <v>111</v>
      </c>
      <c r="B991" s="100" t="s">
        <v>106</v>
      </c>
      <c r="C991" s="106"/>
      <c r="D991" s="106"/>
      <c r="E991" s="106"/>
      <c r="F991" s="599"/>
      <c r="G991" s="112" t="s">
        <v>111</v>
      </c>
      <c r="H991" s="100" t="s">
        <v>131</v>
      </c>
      <c r="I991" s="106"/>
      <c r="J991" s="106"/>
      <c r="K991" s="106"/>
      <c r="L991" s="599"/>
    </row>
    <row r="992" spans="1:12" s="90" customFormat="1" ht="12.75" customHeight="1">
      <c r="A992" s="112" t="s">
        <v>112</v>
      </c>
      <c r="B992" s="100" t="s">
        <v>39</v>
      </c>
      <c r="C992" s="106"/>
      <c r="D992" s="106"/>
      <c r="E992" s="106"/>
      <c r="F992" s="599"/>
      <c r="G992" s="112" t="s">
        <v>112</v>
      </c>
      <c r="H992" s="100" t="s">
        <v>87</v>
      </c>
      <c r="I992" s="106"/>
      <c r="J992" s="106"/>
      <c r="K992" s="106"/>
      <c r="L992" s="599"/>
    </row>
    <row r="993" spans="1:12" s="90" customFormat="1" ht="12.75" customHeight="1">
      <c r="A993" s="112" t="s">
        <v>113</v>
      </c>
      <c r="B993" s="100" t="s">
        <v>201</v>
      </c>
      <c r="C993" s="106"/>
      <c r="D993" s="106"/>
      <c r="E993" s="106"/>
      <c r="F993" s="599"/>
      <c r="G993" s="112" t="s">
        <v>113</v>
      </c>
      <c r="H993" s="100" t="s">
        <v>90</v>
      </c>
      <c r="I993" s="106"/>
      <c r="J993" s="106"/>
      <c r="K993" s="106"/>
      <c r="L993" s="599"/>
    </row>
    <row r="994" spans="1:12" s="90" customFormat="1" ht="12.75" customHeight="1">
      <c r="A994" s="112" t="s">
        <v>56</v>
      </c>
      <c r="B994" s="100" t="s">
        <v>126</v>
      </c>
      <c r="C994" s="101">
        <v>542361</v>
      </c>
      <c r="D994" s="101">
        <v>542361</v>
      </c>
      <c r="E994" s="101">
        <v>542361</v>
      </c>
      <c r="F994" s="102">
        <f>+E994/D994</f>
        <v>1</v>
      </c>
      <c r="G994" s="112" t="s">
        <v>56</v>
      </c>
      <c r="H994" s="100" t="s">
        <v>132</v>
      </c>
      <c r="I994" s="101"/>
      <c r="J994" s="101"/>
      <c r="K994" s="101"/>
      <c r="L994" s="102"/>
    </row>
    <row r="995" spans="1:12" s="90" customFormat="1" ht="12.75" customHeight="1">
      <c r="A995" s="99" t="s">
        <v>64</v>
      </c>
      <c r="B995" s="116" t="s">
        <v>127</v>
      </c>
      <c r="C995" s="101"/>
      <c r="D995" s="101"/>
      <c r="E995" s="101"/>
      <c r="F995" s="102"/>
      <c r="G995" s="99" t="s">
        <v>64</v>
      </c>
      <c r="H995" s="116" t="s">
        <v>133</v>
      </c>
      <c r="I995" s="101"/>
      <c r="J995" s="101"/>
      <c r="K995" s="101"/>
      <c r="L995" s="102"/>
    </row>
    <row r="996" spans="1:12" s="124" customFormat="1" ht="12.75" customHeight="1" thickBot="1">
      <c r="A996" s="117"/>
      <c r="B996" s="118" t="s">
        <v>148</v>
      </c>
      <c r="C996" s="88">
        <f>+C984+C990+C994+C995</f>
        <v>542361</v>
      </c>
      <c r="D996" s="88">
        <f>+D984+D990+D994+D995</f>
        <v>542361</v>
      </c>
      <c r="E996" s="88">
        <f>+E984+E990+E994+E995</f>
        <v>542361</v>
      </c>
      <c r="F996" s="119">
        <f>+E996/D996</f>
        <v>1</v>
      </c>
      <c r="G996" s="117"/>
      <c r="H996" s="118" t="s">
        <v>149</v>
      </c>
      <c r="I996" s="88">
        <f>I984+I990+I994+I995</f>
        <v>542361</v>
      </c>
      <c r="J996" s="88">
        <f>J984+J990+J994+J995</f>
        <v>542361</v>
      </c>
      <c r="K996" s="88">
        <f>K984+K990+K994+K995</f>
        <v>121025</v>
      </c>
      <c r="L996" s="119">
        <f>+K996/J996</f>
        <v>0.2231447320142857</v>
      </c>
    </row>
    <row r="997" spans="1:12" s="126" customFormat="1" ht="12.75" customHeight="1">
      <c r="A997" s="124"/>
      <c r="B997" s="124"/>
      <c r="C997" s="93"/>
      <c r="D997" s="93"/>
      <c r="E997" s="93"/>
      <c r="F997" s="93"/>
      <c r="G997" s="124"/>
      <c r="H997" s="124"/>
      <c r="I997" s="93"/>
      <c r="J997" s="93"/>
      <c r="K997" s="93"/>
      <c r="L997" s="93"/>
    </row>
    <row r="998" spans="1:12" s="90" customFormat="1" ht="12.75" customHeight="1" thickBot="1">
      <c r="A998" s="90" t="s">
        <v>255</v>
      </c>
      <c r="B998" s="124"/>
      <c r="E998" s="93"/>
      <c r="F998" s="93"/>
      <c r="G998" s="124"/>
      <c r="H998" s="124"/>
      <c r="I998" s="595"/>
      <c r="J998" s="595"/>
      <c r="K998" s="93"/>
      <c r="L998" s="596" t="s">
        <v>216</v>
      </c>
    </row>
    <row r="999" spans="1:12" s="90" customFormat="1" ht="24.75" customHeight="1">
      <c r="A999" s="96"/>
      <c r="B999" s="97" t="s">
        <v>104</v>
      </c>
      <c r="C999" s="86" t="s">
        <v>227</v>
      </c>
      <c r="D999" s="86" t="s">
        <v>844</v>
      </c>
      <c r="E999" s="86" t="s">
        <v>303</v>
      </c>
      <c r="F999" s="87" t="s">
        <v>304</v>
      </c>
      <c r="G999" s="96">
        <v>76</v>
      </c>
      <c r="H999" s="97" t="s">
        <v>105</v>
      </c>
      <c r="I999" s="86" t="s">
        <v>227</v>
      </c>
      <c r="J999" s="86" t="s">
        <v>844</v>
      </c>
      <c r="K999" s="86" t="s">
        <v>303</v>
      </c>
      <c r="L999" s="87" t="s">
        <v>304</v>
      </c>
    </row>
    <row r="1000" spans="1:12" s="90" customFormat="1" ht="12.75" customHeight="1">
      <c r="A1000" s="99" t="s">
        <v>23</v>
      </c>
      <c r="B1000" s="100" t="s">
        <v>108</v>
      </c>
      <c r="C1000" s="101"/>
      <c r="D1000" s="101"/>
      <c r="E1000" s="101"/>
      <c r="F1000" s="102"/>
      <c r="G1000" s="99" t="s">
        <v>23</v>
      </c>
      <c r="H1000" s="100" t="s">
        <v>129</v>
      </c>
      <c r="I1000" s="101">
        <f>SUM(I1001:I1005)</f>
        <v>3500</v>
      </c>
      <c r="J1000" s="101">
        <f>SUM(J1001:J1005)</f>
        <v>3500</v>
      </c>
      <c r="K1000" s="101">
        <f>SUM(K1001:K1005)</f>
        <v>0</v>
      </c>
      <c r="L1000" s="102">
        <f>+K1000/J1000</f>
        <v>0</v>
      </c>
    </row>
    <row r="1001" spans="1:12" s="90" customFormat="1" ht="12.75" customHeight="1">
      <c r="A1001" s="99" t="s">
        <v>111</v>
      </c>
      <c r="B1001" s="116" t="s">
        <v>209</v>
      </c>
      <c r="C1001" s="106"/>
      <c r="D1001" s="106"/>
      <c r="E1001" s="106"/>
      <c r="F1001" s="599"/>
      <c r="G1001" s="99" t="s">
        <v>111</v>
      </c>
      <c r="H1001" s="116" t="s">
        <v>80</v>
      </c>
      <c r="I1001" s="106"/>
      <c r="J1001" s="106"/>
      <c r="K1001" s="106"/>
      <c r="L1001" s="599"/>
    </row>
    <row r="1002" spans="1:12" s="90" customFormat="1" ht="12.75" customHeight="1">
      <c r="A1002" s="99"/>
      <c r="B1002" s="116" t="s">
        <v>210</v>
      </c>
      <c r="C1002" s="106"/>
      <c r="D1002" s="106"/>
      <c r="E1002" s="106"/>
      <c r="F1002" s="599"/>
      <c r="G1002" s="99" t="s">
        <v>112</v>
      </c>
      <c r="H1002" s="116" t="s">
        <v>147</v>
      </c>
      <c r="I1002" s="106"/>
      <c r="J1002" s="106"/>
      <c r="K1002" s="106"/>
      <c r="L1002" s="599"/>
    </row>
    <row r="1003" spans="1:12" s="90" customFormat="1" ht="12.75" customHeight="1">
      <c r="A1003" s="99" t="s">
        <v>112</v>
      </c>
      <c r="B1003" s="116" t="s">
        <v>9</v>
      </c>
      <c r="C1003" s="106"/>
      <c r="D1003" s="106"/>
      <c r="E1003" s="106"/>
      <c r="F1003" s="599"/>
      <c r="G1003" s="99" t="s">
        <v>113</v>
      </c>
      <c r="H1003" s="116" t="s">
        <v>83</v>
      </c>
      <c r="I1003" s="106"/>
      <c r="J1003" s="106"/>
      <c r="K1003" s="106"/>
      <c r="L1003" s="599"/>
    </row>
    <row r="1004" spans="1:12" s="90" customFormat="1" ht="12.75" customHeight="1">
      <c r="A1004" s="99" t="s">
        <v>113</v>
      </c>
      <c r="B1004" s="116" t="s">
        <v>170</v>
      </c>
      <c r="C1004" s="106"/>
      <c r="D1004" s="106"/>
      <c r="E1004" s="106"/>
      <c r="F1004" s="599"/>
      <c r="G1004" s="99" t="s">
        <v>114</v>
      </c>
      <c r="H1004" s="116" t="s">
        <v>84</v>
      </c>
      <c r="I1004" s="106"/>
      <c r="J1004" s="106"/>
      <c r="K1004" s="106"/>
      <c r="L1004" s="599"/>
    </row>
    <row r="1005" spans="1:12" s="90" customFormat="1" ht="12.75" customHeight="1">
      <c r="A1005" s="99" t="s">
        <v>114</v>
      </c>
      <c r="B1005" s="116" t="s">
        <v>181</v>
      </c>
      <c r="C1005" s="106"/>
      <c r="D1005" s="106"/>
      <c r="E1005" s="106"/>
      <c r="F1005" s="599"/>
      <c r="G1005" s="99" t="s">
        <v>115</v>
      </c>
      <c r="H1005" s="116" t="s">
        <v>211</v>
      </c>
      <c r="I1005" s="106">
        <v>3500</v>
      </c>
      <c r="J1005" s="106">
        <v>3500</v>
      </c>
      <c r="K1005" s="106">
        <v>0</v>
      </c>
      <c r="L1005" s="599">
        <f>+K1005/J1005+IF(L1005=0/0,0%)</f>
        <v>0</v>
      </c>
    </row>
    <row r="1006" spans="1:12" s="90" customFormat="1" ht="12.75" customHeight="1">
      <c r="A1006" s="112" t="s">
        <v>45</v>
      </c>
      <c r="B1006" s="100" t="s">
        <v>118</v>
      </c>
      <c r="C1006" s="101"/>
      <c r="D1006" s="101"/>
      <c r="E1006" s="101"/>
      <c r="F1006" s="102"/>
      <c r="G1006" s="112" t="s">
        <v>45</v>
      </c>
      <c r="H1006" s="100" t="s">
        <v>130</v>
      </c>
      <c r="I1006" s="101"/>
      <c r="J1006" s="101"/>
      <c r="K1006" s="101"/>
      <c r="L1006" s="102"/>
    </row>
    <row r="1007" spans="1:12" s="90" customFormat="1" ht="12.75" customHeight="1">
      <c r="A1007" s="112" t="s">
        <v>111</v>
      </c>
      <c r="B1007" s="100" t="s">
        <v>106</v>
      </c>
      <c r="C1007" s="106"/>
      <c r="D1007" s="106"/>
      <c r="E1007" s="106"/>
      <c r="F1007" s="599"/>
      <c r="G1007" s="112" t="s">
        <v>111</v>
      </c>
      <c r="H1007" s="100" t="s">
        <v>131</v>
      </c>
      <c r="I1007" s="106"/>
      <c r="J1007" s="106"/>
      <c r="K1007" s="106"/>
      <c r="L1007" s="599"/>
    </row>
    <row r="1008" spans="1:12" s="90" customFormat="1" ht="12.75" customHeight="1">
      <c r="A1008" s="112" t="s">
        <v>112</v>
      </c>
      <c r="B1008" s="100" t="s">
        <v>39</v>
      </c>
      <c r="C1008" s="106"/>
      <c r="D1008" s="106"/>
      <c r="E1008" s="106"/>
      <c r="F1008" s="599"/>
      <c r="G1008" s="112" t="s">
        <v>112</v>
      </c>
      <c r="H1008" s="100" t="s">
        <v>87</v>
      </c>
      <c r="I1008" s="106"/>
      <c r="J1008" s="106"/>
      <c r="K1008" s="106"/>
      <c r="L1008" s="599"/>
    </row>
    <row r="1009" spans="1:12" s="90" customFormat="1" ht="12.75" customHeight="1">
      <c r="A1009" s="112" t="s">
        <v>113</v>
      </c>
      <c r="B1009" s="100" t="s">
        <v>201</v>
      </c>
      <c r="C1009" s="106"/>
      <c r="D1009" s="106"/>
      <c r="E1009" s="106"/>
      <c r="F1009" s="599"/>
      <c r="G1009" s="112" t="s">
        <v>113</v>
      </c>
      <c r="H1009" s="100" t="s">
        <v>90</v>
      </c>
      <c r="I1009" s="106"/>
      <c r="J1009" s="106"/>
      <c r="K1009" s="106"/>
      <c r="L1009" s="599"/>
    </row>
    <row r="1010" spans="1:12" s="90" customFormat="1" ht="12.75" customHeight="1">
      <c r="A1010" s="112" t="s">
        <v>56</v>
      </c>
      <c r="B1010" s="100" t="s">
        <v>126</v>
      </c>
      <c r="C1010" s="101">
        <v>3500</v>
      </c>
      <c r="D1010" s="101">
        <v>3500</v>
      </c>
      <c r="E1010" s="101">
        <v>3500</v>
      </c>
      <c r="F1010" s="102">
        <f>+E1010/D1010</f>
        <v>1</v>
      </c>
      <c r="G1010" s="112" t="s">
        <v>56</v>
      </c>
      <c r="H1010" s="100" t="s">
        <v>132</v>
      </c>
      <c r="I1010" s="101"/>
      <c r="J1010" s="101"/>
      <c r="K1010" s="101"/>
      <c r="L1010" s="102"/>
    </row>
    <row r="1011" spans="1:12" s="90" customFormat="1" ht="12.75" customHeight="1">
      <c r="A1011" s="99" t="s">
        <v>64</v>
      </c>
      <c r="B1011" s="116" t="s">
        <v>127</v>
      </c>
      <c r="C1011" s="101"/>
      <c r="D1011" s="101"/>
      <c r="E1011" s="101"/>
      <c r="F1011" s="102"/>
      <c r="G1011" s="99" t="s">
        <v>64</v>
      </c>
      <c r="H1011" s="116" t="s">
        <v>133</v>
      </c>
      <c r="I1011" s="101"/>
      <c r="J1011" s="101"/>
      <c r="K1011" s="101"/>
      <c r="L1011" s="102"/>
    </row>
    <row r="1012" spans="1:12" s="124" customFormat="1" ht="12.75" customHeight="1" thickBot="1">
      <c r="A1012" s="117"/>
      <c r="B1012" s="118" t="s">
        <v>148</v>
      </c>
      <c r="C1012" s="88">
        <f>+C1000+C1006+C1010+C1011</f>
        <v>3500</v>
      </c>
      <c r="D1012" s="88">
        <f>+D1000+D1006+D1010+D1011</f>
        <v>3500</v>
      </c>
      <c r="E1012" s="88">
        <f>+E1000+E1006+E1010+E1011</f>
        <v>3500</v>
      </c>
      <c r="F1012" s="119">
        <f>+E1012/D1012</f>
        <v>1</v>
      </c>
      <c r="G1012" s="117"/>
      <c r="H1012" s="118" t="s">
        <v>149</v>
      </c>
      <c r="I1012" s="88">
        <f>I1000+I1006+I1010+I1011</f>
        <v>3500</v>
      </c>
      <c r="J1012" s="88">
        <f>J1000+J1006+J1010+J1011</f>
        <v>3500</v>
      </c>
      <c r="K1012" s="88">
        <f>K1000+K1006+K1010+K1011</f>
        <v>0</v>
      </c>
      <c r="L1012" s="119">
        <f>+K1012/J1012</f>
        <v>0</v>
      </c>
    </row>
    <row r="1013" spans="1:12" s="126" customFormat="1" ht="12.75" customHeight="1">
      <c r="A1013" s="124"/>
      <c r="B1013" s="124"/>
      <c r="C1013" s="93"/>
      <c r="D1013" s="93"/>
      <c r="E1013" s="93"/>
      <c r="F1013" s="93"/>
      <c r="G1013" s="124"/>
      <c r="H1013" s="124"/>
      <c r="I1013" s="93"/>
      <c r="J1013" s="93"/>
      <c r="K1013" s="93"/>
      <c r="L1013" s="93"/>
    </row>
    <row r="1014" spans="1:12" s="647" customFormat="1" ht="20.25" customHeight="1">
      <c r="A1014" s="645"/>
      <c r="B1014" s="645"/>
      <c r="C1014" s="646"/>
      <c r="D1014" s="646"/>
      <c r="E1014" s="648"/>
      <c r="F1014" s="648"/>
      <c r="G1014" s="645"/>
      <c r="H1014" s="645"/>
      <c r="I1014" s="646"/>
      <c r="J1014" s="646"/>
      <c r="K1014" s="648"/>
      <c r="L1014" s="648"/>
    </row>
    <row r="1015" spans="1:12" s="90" customFormat="1" ht="12.75" customHeight="1" thickBot="1">
      <c r="A1015" s="90" t="s">
        <v>266</v>
      </c>
      <c r="B1015" s="124"/>
      <c r="E1015" s="93"/>
      <c r="F1015" s="93"/>
      <c r="G1015" s="124"/>
      <c r="H1015" s="124"/>
      <c r="I1015" s="595"/>
      <c r="J1015" s="595"/>
      <c r="K1015" s="93"/>
      <c r="L1015" s="596" t="s">
        <v>216</v>
      </c>
    </row>
    <row r="1016" spans="1:12" s="90" customFormat="1" ht="24.75" customHeight="1">
      <c r="A1016" s="96"/>
      <c r="B1016" s="97" t="s">
        <v>104</v>
      </c>
      <c r="C1016" s="86" t="s">
        <v>227</v>
      </c>
      <c r="D1016" s="86" t="s">
        <v>844</v>
      </c>
      <c r="E1016" s="86" t="s">
        <v>303</v>
      </c>
      <c r="F1016" s="87" t="s">
        <v>304</v>
      </c>
      <c r="G1016" s="96">
        <v>78</v>
      </c>
      <c r="H1016" s="97" t="s">
        <v>105</v>
      </c>
      <c r="I1016" s="86" t="s">
        <v>227</v>
      </c>
      <c r="J1016" s="86" t="s">
        <v>844</v>
      </c>
      <c r="K1016" s="86" t="s">
        <v>303</v>
      </c>
      <c r="L1016" s="87" t="s">
        <v>304</v>
      </c>
    </row>
    <row r="1017" spans="1:12" s="90" customFormat="1" ht="12.75" customHeight="1">
      <c r="A1017" s="99" t="s">
        <v>23</v>
      </c>
      <c r="B1017" s="100" t="s">
        <v>108</v>
      </c>
      <c r="C1017" s="101"/>
      <c r="D1017" s="101"/>
      <c r="E1017" s="101"/>
      <c r="F1017" s="102"/>
      <c r="G1017" s="99" t="s">
        <v>23</v>
      </c>
      <c r="H1017" s="100" t="s">
        <v>129</v>
      </c>
      <c r="I1017" s="101">
        <f>SUM(I1018:I1022)</f>
        <v>92570</v>
      </c>
      <c r="J1017" s="101">
        <f>SUM(J1018:J1022)</f>
        <v>92570</v>
      </c>
      <c r="K1017" s="101">
        <f>SUM(K1018:K1022)</f>
        <v>92570</v>
      </c>
      <c r="L1017" s="102">
        <f>K1017/J1017</f>
        <v>1</v>
      </c>
    </row>
    <row r="1018" spans="1:12" s="90" customFormat="1" ht="12.75" customHeight="1">
      <c r="A1018" s="99" t="s">
        <v>111</v>
      </c>
      <c r="B1018" s="116" t="s">
        <v>209</v>
      </c>
      <c r="C1018" s="106"/>
      <c r="D1018" s="106"/>
      <c r="E1018" s="106"/>
      <c r="F1018" s="599"/>
      <c r="G1018" s="99" t="s">
        <v>111</v>
      </c>
      <c r="H1018" s="116" t="s">
        <v>80</v>
      </c>
      <c r="I1018" s="106"/>
      <c r="J1018" s="106"/>
      <c r="K1018" s="106"/>
      <c r="L1018" s="599"/>
    </row>
    <row r="1019" spans="1:12" s="90" customFormat="1" ht="12.75" customHeight="1">
      <c r="A1019" s="99"/>
      <c r="B1019" s="116" t="s">
        <v>210</v>
      </c>
      <c r="C1019" s="106"/>
      <c r="D1019" s="106"/>
      <c r="E1019" s="106"/>
      <c r="F1019" s="599"/>
      <c r="G1019" s="99" t="s">
        <v>112</v>
      </c>
      <c r="H1019" s="116" t="s">
        <v>147</v>
      </c>
      <c r="I1019" s="106"/>
      <c r="J1019" s="106"/>
      <c r="K1019" s="106"/>
      <c r="L1019" s="599"/>
    </row>
    <row r="1020" spans="1:12" s="90" customFormat="1" ht="12.75" customHeight="1">
      <c r="A1020" s="99" t="s">
        <v>112</v>
      </c>
      <c r="B1020" s="116" t="s">
        <v>9</v>
      </c>
      <c r="C1020" s="106"/>
      <c r="D1020" s="106"/>
      <c r="E1020" s="106"/>
      <c r="F1020" s="599"/>
      <c r="G1020" s="99" t="s">
        <v>113</v>
      </c>
      <c r="H1020" s="116" t="s">
        <v>83</v>
      </c>
      <c r="I1020" s="106"/>
      <c r="J1020" s="106"/>
      <c r="K1020" s="106"/>
      <c r="L1020" s="599"/>
    </row>
    <row r="1021" spans="1:12" s="90" customFormat="1" ht="12.75" customHeight="1">
      <c r="A1021" s="99" t="s">
        <v>113</v>
      </c>
      <c r="B1021" s="116" t="s">
        <v>170</v>
      </c>
      <c r="C1021" s="106"/>
      <c r="D1021" s="106"/>
      <c r="E1021" s="106"/>
      <c r="F1021" s="599"/>
      <c r="G1021" s="99" t="s">
        <v>114</v>
      </c>
      <c r="H1021" s="116" t="s">
        <v>84</v>
      </c>
      <c r="I1021" s="106"/>
      <c r="J1021" s="106"/>
      <c r="K1021" s="106"/>
      <c r="L1021" s="599"/>
    </row>
    <row r="1022" spans="1:12" s="90" customFormat="1" ht="12.75" customHeight="1">
      <c r="A1022" s="99" t="s">
        <v>114</v>
      </c>
      <c r="B1022" s="116" t="s">
        <v>181</v>
      </c>
      <c r="C1022" s="106"/>
      <c r="D1022" s="106"/>
      <c r="E1022" s="106"/>
      <c r="F1022" s="599"/>
      <c r="G1022" s="99" t="s">
        <v>115</v>
      </c>
      <c r="H1022" s="116" t="s">
        <v>211</v>
      </c>
      <c r="I1022" s="106">
        <v>92570</v>
      </c>
      <c r="J1022" s="106">
        <v>92570</v>
      </c>
      <c r="K1022" s="106">
        <v>92570</v>
      </c>
      <c r="L1022" s="599">
        <f>K1022/J1022</f>
        <v>1</v>
      </c>
    </row>
    <row r="1023" spans="1:12" s="90" customFormat="1" ht="12.75" customHeight="1">
      <c r="A1023" s="112" t="s">
        <v>45</v>
      </c>
      <c r="B1023" s="100" t="s">
        <v>118</v>
      </c>
      <c r="C1023" s="101"/>
      <c r="D1023" s="101"/>
      <c r="E1023" s="101"/>
      <c r="F1023" s="102"/>
      <c r="G1023" s="112" t="s">
        <v>45</v>
      </c>
      <c r="H1023" s="100" t="s">
        <v>130</v>
      </c>
      <c r="I1023" s="101"/>
      <c r="J1023" s="101"/>
      <c r="K1023" s="101"/>
      <c r="L1023" s="102"/>
    </row>
    <row r="1024" spans="1:12" s="90" customFormat="1" ht="12.75" customHeight="1">
      <c r="A1024" s="112" t="s">
        <v>111</v>
      </c>
      <c r="B1024" s="100" t="s">
        <v>106</v>
      </c>
      <c r="C1024" s="106"/>
      <c r="D1024" s="106"/>
      <c r="E1024" s="106"/>
      <c r="F1024" s="599"/>
      <c r="G1024" s="112" t="s">
        <v>111</v>
      </c>
      <c r="H1024" s="100" t="s">
        <v>131</v>
      </c>
      <c r="I1024" s="106"/>
      <c r="J1024" s="106"/>
      <c r="K1024" s="106"/>
      <c r="L1024" s="599"/>
    </row>
    <row r="1025" spans="1:12" s="90" customFormat="1" ht="12.75" customHeight="1">
      <c r="A1025" s="112" t="s">
        <v>112</v>
      </c>
      <c r="B1025" s="100" t="s">
        <v>39</v>
      </c>
      <c r="C1025" s="106"/>
      <c r="D1025" s="106"/>
      <c r="E1025" s="106"/>
      <c r="F1025" s="599"/>
      <c r="G1025" s="112" t="s">
        <v>112</v>
      </c>
      <c r="H1025" s="100" t="s">
        <v>87</v>
      </c>
      <c r="I1025" s="106"/>
      <c r="J1025" s="106"/>
      <c r="K1025" s="106"/>
      <c r="L1025" s="599"/>
    </row>
    <row r="1026" spans="1:12" s="90" customFormat="1" ht="12.75" customHeight="1">
      <c r="A1026" s="112" t="s">
        <v>113</v>
      </c>
      <c r="B1026" s="100" t="s">
        <v>201</v>
      </c>
      <c r="C1026" s="106"/>
      <c r="D1026" s="106"/>
      <c r="E1026" s="106"/>
      <c r="F1026" s="599"/>
      <c r="G1026" s="112" t="s">
        <v>113</v>
      </c>
      <c r="H1026" s="100" t="s">
        <v>90</v>
      </c>
      <c r="I1026" s="106"/>
      <c r="J1026" s="106"/>
      <c r="K1026" s="106"/>
      <c r="L1026" s="599"/>
    </row>
    <row r="1027" spans="1:12" s="90" customFormat="1" ht="12.75" customHeight="1">
      <c r="A1027" s="112" t="s">
        <v>56</v>
      </c>
      <c r="B1027" s="100" t="s">
        <v>126</v>
      </c>
      <c r="C1027" s="101">
        <v>92570</v>
      </c>
      <c r="D1027" s="101">
        <v>92570</v>
      </c>
      <c r="E1027" s="101">
        <v>92570</v>
      </c>
      <c r="F1027" s="102">
        <f>+E1027/D1027</f>
        <v>1</v>
      </c>
      <c r="G1027" s="112" t="s">
        <v>56</v>
      </c>
      <c r="H1027" s="100" t="s">
        <v>132</v>
      </c>
      <c r="I1027" s="101"/>
      <c r="J1027" s="101"/>
      <c r="K1027" s="101"/>
      <c r="L1027" s="102"/>
    </row>
    <row r="1028" spans="1:12" s="90" customFormat="1" ht="12.75" customHeight="1">
      <c r="A1028" s="99" t="s">
        <v>64</v>
      </c>
      <c r="B1028" s="116" t="s">
        <v>127</v>
      </c>
      <c r="C1028" s="101"/>
      <c r="D1028" s="101"/>
      <c r="E1028" s="101"/>
      <c r="F1028" s="102"/>
      <c r="G1028" s="99" t="s">
        <v>64</v>
      </c>
      <c r="H1028" s="116" t="s">
        <v>133</v>
      </c>
      <c r="I1028" s="101"/>
      <c r="J1028" s="101"/>
      <c r="K1028" s="101"/>
      <c r="L1028" s="102"/>
    </row>
    <row r="1029" spans="1:12" s="124" customFormat="1" ht="12.75" customHeight="1" thickBot="1">
      <c r="A1029" s="117"/>
      <c r="B1029" s="118" t="s">
        <v>148</v>
      </c>
      <c r="C1029" s="88">
        <f>+C1017+C1023+C1027+C1028</f>
        <v>92570</v>
      </c>
      <c r="D1029" s="88">
        <f>+D1017+D1023+D1027+D1028</f>
        <v>92570</v>
      </c>
      <c r="E1029" s="88">
        <f>+E1017+E1023+E1027+E1028</f>
        <v>92570</v>
      </c>
      <c r="F1029" s="119">
        <f>+E1029/D1029</f>
        <v>1</v>
      </c>
      <c r="G1029" s="117"/>
      <c r="H1029" s="118" t="s">
        <v>149</v>
      </c>
      <c r="I1029" s="88">
        <f>I1017+I1023+I1027+I1028</f>
        <v>92570</v>
      </c>
      <c r="J1029" s="88">
        <f>J1017+J1023+J1027+J1028</f>
        <v>92570</v>
      </c>
      <c r="K1029" s="88">
        <f>K1017+K1023+K1027+K1028</f>
        <v>92570</v>
      </c>
      <c r="L1029" s="119">
        <f>K1029/J1029</f>
        <v>1</v>
      </c>
    </row>
    <row r="1030" spans="1:12" s="126" customFormat="1" ht="20.25" customHeight="1">
      <c r="A1030" s="124"/>
      <c r="B1030" s="124"/>
      <c r="C1030" s="93"/>
      <c r="D1030" s="93"/>
      <c r="E1030" s="595"/>
      <c r="F1030" s="595"/>
      <c r="G1030" s="124"/>
      <c r="H1030" s="124"/>
      <c r="I1030" s="93"/>
      <c r="J1030" s="93"/>
      <c r="K1030" s="595"/>
      <c r="L1030" s="595"/>
    </row>
    <row r="1031" spans="1:12" s="90" customFormat="1" ht="12.75" customHeight="1" thickBot="1">
      <c r="A1031" s="90" t="s">
        <v>252</v>
      </c>
      <c r="B1031" s="124"/>
      <c r="C1031" s="93"/>
      <c r="D1031" s="93"/>
      <c r="E1031" s="93"/>
      <c r="F1031" s="93"/>
      <c r="G1031" s="124"/>
      <c r="H1031" s="124"/>
      <c r="I1031" s="595"/>
      <c r="J1031" s="595"/>
      <c r="K1031" s="93"/>
      <c r="L1031" s="596" t="s">
        <v>216</v>
      </c>
    </row>
    <row r="1032" spans="1:12" s="90" customFormat="1" ht="24.75" customHeight="1">
      <c r="A1032" s="96"/>
      <c r="B1032" s="97" t="s">
        <v>104</v>
      </c>
      <c r="C1032" s="86" t="s">
        <v>227</v>
      </c>
      <c r="D1032" s="86" t="s">
        <v>844</v>
      </c>
      <c r="E1032" s="86" t="s">
        <v>303</v>
      </c>
      <c r="F1032" s="87" t="s">
        <v>304</v>
      </c>
      <c r="G1032" s="96">
        <v>79</v>
      </c>
      <c r="H1032" s="97" t="s">
        <v>105</v>
      </c>
      <c r="I1032" s="86" t="s">
        <v>227</v>
      </c>
      <c r="J1032" s="86" t="s">
        <v>844</v>
      </c>
      <c r="K1032" s="86" t="s">
        <v>303</v>
      </c>
      <c r="L1032" s="87" t="s">
        <v>304</v>
      </c>
    </row>
    <row r="1033" spans="1:12" s="90" customFormat="1" ht="12.75" customHeight="1">
      <c r="A1033" s="99" t="s">
        <v>23</v>
      </c>
      <c r="B1033" s="100" t="s">
        <v>108</v>
      </c>
      <c r="C1033" s="101"/>
      <c r="D1033" s="101"/>
      <c r="E1033" s="101"/>
      <c r="F1033" s="102"/>
      <c r="G1033" s="99" t="s">
        <v>23</v>
      </c>
      <c r="H1033" s="100" t="s">
        <v>129</v>
      </c>
      <c r="I1033" s="101">
        <f>SUM(I1034:I1038)</f>
        <v>85471</v>
      </c>
      <c r="J1033" s="101">
        <f>SUM(J1034:J1038)</f>
        <v>85471</v>
      </c>
      <c r="K1033" s="101">
        <f>SUM(K1034:K1038)</f>
        <v>85471</v>
      </c>
      <c r="L1033" s="102">
        <f>K1033/J1033</f>
        <v>1</v>
      </c>
    </row>
    <row r="1034" spans="1:12" s="90" customFormat="1" ht="12.75" customHeight="1">
      <c r="A1034" s="99" t="s">
        <v>111</v>
      </c>
      <c r="B1034" s="116" t="s">
        <v>209</v>
      </c>
      <c r="C1034" s="106"/>
      <c r="D1034" s="106"/>
      <c r="E1034" s="106"/>
      <c r="F1034" s="599"/>
      <c r="G1034" s="99" t="s">
        <v>111</v>
      </c>
      <c r="H1034" s="116" t="s">
        <v>80</v>
      </c>
      <c r="I1034" s="106">
        <v>716</v>
      </c>
      <c r="J1034" s="106">
        <v>716</v>
      </c>
      <c r="K1034" s="106">
        <v>716</v>
      </c>
      <c r="L1034" s="599">
        <f>K1034/J1034</f>
        <v>1</v>
      </c>
    </row>
    <row r="1035" spans="1:12" s="90" customFormat="1" ht="12.75" customHeight="1">
      <c r="A1035" s="99"/>
      <c r="B1035" s="116" t="s">
        <v>210</v>
      </c>
      <c r="C1035" s="106"/>
      <c r="D1035" s="106"/>
      <c r="E1035" s="106"/>
      <c r="F1035" s="599"/>
      <c r="G1035" s="99" t="s">
        <v>112</v>
      </c>
      <c r="H1035" s="116" t="s">
        <v>147</v>
      </c>
      <c r="I1035" s="106">
        <v>140</v>
      </c>
      <c r="J1035" s="106">
        <v>140</v>
      </c>
      <c r="K1035" s="106">
        <v>140</v>
      </c>
      <c r="L1035" s="599">
        <f>K1035/J1035</f>
        <v>1</v>
      </c>
    </row>
    <row r="1036" spans="1:12" s="90" customFormat="1" ht="12.75" customHeight="1">
      <c r="A1036" s="99" t="s">
        <v>112</v>
      </c>
      <c r="B1036" s="116" t="s">
        <v>9</v>
      </c>
      <c r="C1036" s="106"/>
      <c r="D1036" s="106"/>
      <c r="E1036" s="106"/>
      <c r="F1036" s="599"/>
      <c r="G1036" s="99" t="s">
        <v>113</v>
      </c>
      <c r="H1036" s="116" t="s">
        <v>83</v>
      </c>
      <c r="I1036" s="106"/>
      <c r="J1036" s="106"/>
      <c r="K1036" s="106"/>
      <c r="L1036" s="599"/>
    </row>
    <row r="1037" spans="1:12" s="90" customFormat="1" ht="12.75" customHeight="1">
      <c r="A1037" s="99" t="s">
        <v>113</v>
      </c>
      <c r="B1037" s="116" t="s">
        <v>170</v>
      </c>
      <c r="C1037" s="106"/>
      <c r="D1037" s="106"/>
      <c r="E1037" s="106"/>
      <c r="F1037" s="599"/>
      <c r="G1037" s="99" t="s">
        <v>114</v>
      </c>
      <c r="H1037" s="116" t="s">
        <v>84</v>
      </c>
      <c r="I1037" s="106"/>
      <c r="J1037" s="106"/>
      <c r="K1037" s="106"/>
      <c r="L1037" s="599"/>
    </row>
    <row r="1038" spans="1:12" s="90" customFormat="1" ht="12.75" customHeight="1">
      <c r="A1038" s="99" t="s">
        <v>114</v>
      </c>
      <c r="B1038" s="116" t="s">
        <v>181</v>
      </c>
      <c r="C1038" s="106"/>
      <c r="D1038" s="106"/>
      <c r="E1038" s="106"/>
      <c r="F1038" s="599"/>
      <c r="G1038" s="99" t="s">
        <v>115</v>
      </c>
      <c r="H1038" s="116" t="s">
        <v>211</v>
      </c>
      <c r="I1038" s="106">
        <f>85471-856</f>
        <v>84615</v>
      </c>
      <c r="J1038" s="106">
        <f>85471-856</f>
        <v>84615</v>
      </c>
      <c r="K1038" s="106">
        <v>84615</v>
      </c>
      <c r="L1038" s="599">
        <f>K1038/J1038</f>
        <v>1</v>
      </c>
    </row>
    <row r="1039" spans="1:12" s="90" customFormat="1" ht="12.75" customHeight="1">
      <c r="A1039" s="112" t="s">
        <v>45</v>
      </c>
      <c r="B1039" s="100" t="s">
        <v>118</v>
      </c>
      <c r="C1039" s="101"/>
      <c r="D1039" s="101"/>
      <c r="E1039" s="101"/>
      <c r="F1039" s="102"/>
      <c r="G1039" s="112" t="s">
        <v>45</v>
      </c>
      <c r="H1039" s="100" t="s">
        <v>130</v>
      </c>
      <c r="I1039" s="101"/>
      <c r="J1039" s="101"/>
      <c r="K1039" s="101"/>
      <c r="L1039" s="102"/>
    </row>
    <row r="1040" spans="1:12" s="90" customFormat="1" ht="12.75" customHeight="1">
      <c r="A1040" s="112" t="s">
        <v>111</v>
      </c>
      <c r="B1040" s="100" t="s">
        <v>106</v>
      </c>
      <c r="C1040" s="106"/>
      <c r="D1040" s="106"/>
      <c r="E1040" s="106"/>
      <c r="F1040" s="599"/>
      <c r="G1040" s="112" t="s">
        <v>111</v>
      </c>
      <c r="H1040" s="100" t="s">
        <v>131</v>
      </c>
      <c r="I1040" s="106"/>
      <c r="J1040" s="106"/>
      <c r="K1040" s="106"/>
      <c r="L1040" s="599"/>
    </row>
    <row r="1041" spans="1:12" s="90" customFormat="1" ht="12.75" customHeight="1">
      <c r="A1041" s="112" t="s">
        <v>112</v>
      </c>
      <c r="B1041" s="100" t="s">
        <v>39</v>
      </c>
      <c r="C1041" s="106"/>
      <c r="D1041" s="106"/>
      <c r="E1041" s="106"/>
      <c r="F1041" s="599"/>
      <c r="G1041" s="112" t="s">
        <v>112</v>
      </c>
      <c r="H1041" s="100" t="s">
        <v>87</v>
      </c>
      <c r="I1041" s="106"/>
      <c r="J1041" s="106"/>
      <c r="K1041" s="106"/>
      <c r="L1041" s="599"/>
    </row>
    <row r="1042" spans="1:12" s="90" customFormat="1" ht="12.75" customHeight="1">
      <c r="A1042" s="112" t="s">
        <v>113</v>
      </c>
      <c r="B1042" s="100" t="s">
        <v>201</v>
      </c>
      <c r="C1042" s="106"/>
      <c r="D1042" s="106"/>
      <c r="E1042" s="106"/>
      <c r="F1042" s="599"/>
      <c r="G1042" s="112" t="s">
        <v>113</v>
      </c>
      <c r="H1042" s="100" t="s">
        <v>90</v>
      </c>
      <c r="I1042" s="106"/>
      <c r="J1042" s="106"/>
      <c r="K1042" s="106"/>
      <c r="L1042" s="599"/>
    </row>
    <row r="1043" spans="1:12" s="90" customFormat="1" ht="12.75" customHeight="1">
      <c r="A1043" s="112" t="s">
        <v>56</v>
      </c>
      <c r="B1043" s="100" t="s">
        <v>126</v>
      </c>
      <c r="C1043" s="101">
        <v>85471</v>
      </c>
      <c r="D1043" s="101">
        <v>85471</v>
      </c>
      <c r="E1043" s="101">
        <v>85471</v>
      </c>
      <c r="F1043" s="102">
        <f>+E1043/D1043</f>
        <v>1</v>
      </c>
      <c r="G1043" s="112" t="s">
        <v>56</v>
      </c>
      <c r="H1043" s="100" t="s">
        <v>132</v>
      </c>
      <c r="I1043" s="101"/>
      <c r="J1043" s="101"/>
      <c r="K1043" s="101"/>
      <c r="L1043" s="102"/>
    </row>
    <row r="1044" spans="1:12" s="90" customFormat="1" ht="12.75" customHeight="1">
      <c r="A1044" s="99" t="s">
        <v>64</v>
      </c>
      <c r="B1044" s="116" t="s">
        <v>127</v>
      </c>
      <c r="C1044" s="101"/>
      <c r="D1044" s="101"/>
      <c r="E1044" s="101"/>
      <c r="F1044" s="102"/>
      <c r="G1044" s="99" t="s">
        <v>64</v>
      </c>
      <c r="H1044" s="116" t="s">
        <v>133</v>
      </c>
      <c r="I1044" s="101"/>
      <c r="J1044" s="101"/>
      <c r="K1044" s="101"/>
      <c r="L1044" s="102"/>
    </row>
    <row r="1045" spans="1:12" s="124" customFormat="1" ht="12.75" customHeight="1" thickBot="1">
      <c r="A1045" s="117"/>
      <c r="B1045" s="118" t="s">
        <v>148</v>
      </c>
      <c r="C1045" s="88">
        <f>+C1033+C1039+C1043+C1044</f>
        <v>85471</v>
      </c>
      <c r="D1045" s="88">
        <f>+D1033+D1039+D1043+D1044</f>
        <v>85471</v>
      </c>
      <c r="E1045" s="88">
        <f>+E1033+E1039+E1043+E1044</f>
        <v>85471</v>
      </c>
      <c r="F1045" s="119">
        <f>+E1045/D1045</f>
        <v>1</v>
      </c>
      <c r="G1045" s="117"/>
      <c r="H1045" s="118" t="s">
        <v>149</v>
      </c>
      <c r="I1045" s="88">
        <f>I1033+I1039+I1043+I1044</f>
        <v>85471</v>
      </c>
      <c r="J1045" s="88">
        <f>J1033+J1039+J1043+J1044</f>
        <v>85471</v>
      </c>
      <c r="K1045" s="88">
        <f>K1033+K1039+K1043+K1044</f>
        <v>85471</v>
      </c>
      <c r="L1045" s="119">
        <f>K1045/J1045</f>
        <v>1</v>
      </c>
    </row>
    <row r="1046" spans="1:12" s="126" customFormat="1" ht="12.75" customHeight="1">
      <c r="A1046" s="642"/>
      <c r="B1046" s="641"/>
      <c r="C1046" s="93"/>
      <c r="D1046" s="93"/>
      <c r="E1046" s="93"/>
      <c r="F1046" s="93"/>
      <c r="G1046" s="642"/>
      <c r="H1046" s="641"/>
      <c r="I1046" s="93"/>
      <c r="J1046" s="93"/>
      <c r="K1046" s="93"/>
      <c r="L1046" s="93"/>
    </row>
    <row r="1047" spans="1:12" s="90" customFormat="1" ht="12.75" customHeight="1" thickBot="1">
      <c r="A1047" s="90" t="s">
        <v>230</v>
      </c>
      <c r="B1047" s="124"/>
      <c r="C1047" s="93"/>
      <c r="D1047" s="93"/>
      <c r="E1047" s="93"/>
      <c r="F1047" s="93"/>
      <c r="G1047" s="124"/>
      <c r="H1047" s="124"/>
      <c r="I1047" s="595"/>
      <c r="J1047" s="595"/>
      <c r="K1047" s="93"/>
      <c r="L1047" s="596" t="s">
        <v>216</v>
      </c>
    </row>
    <row r="1048" spans="1:12" s="90" customFormat="1" ht="24.75" customHeight="1">
      <c r="A1048" s="96"/>
      <c r="B1048" s="97" t="s">
        <v>104</v>
      </c>
      <c r="C1048" s="86" t="s">
        <v>227</v>
      </c>
      <c r="D1048" s="86" t="s">
        <v>844</v>
      </c>
      <c r="E1048" s="86" t="s">
        <v>303</v>
      </c>
      <c r="F1048" s="87" t="s">
        <v>304</v>
      </c>
      <c r="G1048" s="96">
        <v>80</v>
      </c>
      <c r="H1048" s="97" t="s">
        <v>105</v>
      </c>
      <c r="I1048" s="86" t="s">
        <v>227</v>
      </c>
      <c r="J1048" s="86" t="s">
        <v>844</v>
      </c>
      <c r="K1048" s="86" t="s">
        <v>303</v>
      </c>
      <c r="L1048" s="87" t="s">
        <v>304</v>
      </c>
    </row>
    <row r="1049" spans="1:12" s="90" customFormat="1" ht="12.75" customHeight="1">
      <c r="A1049" s="99" t="s">
        <v>23</v>
      </c>
      <c r="B1049" s="100" t="s">
        <v>108</v>
      </c>
      <c r="C1049" s="101"/>
      <c r="D1049" s="101"/>
      <c r="E1049" s="101"/>
      <c r="F1049" s="102"/>
      <c r="G1049" s="99" t="s">
        <v>23</v>
      </c>
      <c r="H1049" s="100" t="s">
        <v>129</v>
      </c>
      <c r="I1049" s="101">
        <f>SUM(I1050:I1054)</f>
        <v>182496</v>
      </c>
      <c r="J1049" s="101">
        <f>SUM(J1050:J1054)</f>
        <v>182496</v>
      </c>
      <c r="K1049" s="101">
        <f>SUM(K1050:K1054)</f>
        <v>182495</v>
      </c>
      <c r="L1049" s="102">
        <f>+K1049/J1049</f>
        <v>0.999994520427845</v>
      </c>
    </row>
    <row r="1050" spans="1:12" s="90" customFormat="1" ht="12.75" customHeight="1">
      <c r="A1050" s="99" t="s">
        <v>111</v>
      </c>
      <c r="B1050" s="116" t="s">
        <v>209</v>
      </c>
      <c r="C1050" s="106"/>
      <c r="D1050" s="106"/>
      <c r="E1050" s="106"/>
      <c r="F1050" s="599"/>
      <c r="G1050" s="99" t="s">
        <v>111</v>
      </c>
      <c r="H1050" s="116" t="s">
        <v>80</v>
      </c>
      <c r="I1050" s="106">
        <v>56429</v>
      </c>
      <c r="J1050" s="106">
        <v>56429</v>
      </c>
      <c r="K1050" s="106">
        <v>56429</v>
      </c>
      <c r="L1050" s="599">
        <f>+K1050/J1050</f>
        <v>1</v>
      </c>
    </row>
    <row r="1051" spans="1:12" s="90" customFormat="1" ht="12.75" customHeight="1">
      <c r="A1051" s="99"/>
      <c r="B1051" s="116" t="s">
        <v>210</v>
      </c>
      <c r="C1051" s="106"/>
      <c r="D1051" s="106"/>
      <c r="E1051" s="106"/>
      <c r="F1051" s="599"/>
      <c r="G1051" s="99" t="s">
        <v>112</v>
      </c>
      <c r="H1051" s="116" t="s">
        <v>147</v>
      </c>
      <c r="I1051" s="106">
        <v>9874</v>
      </c>
      <c r="J1051" s="106">
        <v>9874</v>
      </c>
      <c r="K1051" s="106">
        <v>9874</v>
      </c>
      <c r="L1051" s="599">
        <f>+K1051/J1051</f>
        <v>1</v>
      </c>
    </row>
    <row r="1052" spans="1:12" s="90" customFormat="1" ht="12.75" customHeight="1">
      <c r="A1052" s="99" t="s">
        <v>112</v>
      </c>
      <c r="B1052" s="116" t="s">
        <v>9</v>
      </c>
      <c r="C1052" s="106"/>
      <c r="D1052" s="106"/>
      <c r="E1052" s="106"/>
      <c r="F1052" s="599"/>
      <c r="G1052" s="99" t="s">
        <v>113</v>
      </c>
      <c r="H1052" s="116" t="s">
        <v>83</v>
      </c>
      <c r="I1052" s="106">
        <f>96200+18684</f>
        <v>114884</v>
      </c>
      <c r="J1052" s="106">
        <v>50001</v>
      </c>
      <c r="K1052" s="106">
        <v>50000</v>
      </c>
      <c r="L1052" s="599">
        <f>+K1052/J1052</f>
        <v>0.999980000399992</v>
      </c>
    </row>
    <row r="1053" spans="1:12" s="90" customFormat="1" ht="12.75" customHeight="1">
      <c r="A1053" s="99" t="s">
        <v>113</v>
      </c>
      <c r="B1053" s="116" t="s">
        <v>170</v>
      </c>
      <c r="C1053" s="106"/>
      <c r="D1053" s="106"/>
      <c r="E1053" s="106"/>
      <c r="F1053" s="599"/>
      <c r="G1053" s="99" t="s">
        <v>114</v>
      </c>
      <c r="H1053" s="116" t="s">
        <v>84</v>
      </c>
      <c r="I1053" s="106"/>
      <c r="J1053" s="106"/>
      <c r="K1053" s="106"/>
      <c r="L1053" s="599"/>
    </row>
    <row r="1054" spans="1:12" s="90" customFormat="1" ht="12.75" customHeight="1">
      <c r="A1054" s="99" t="s">
        <v>114</v>
      </c>
      <c r="B1054" s="116" t="s">
        <v>181</v>
      </c>
      <c r="C1054" s="106"/>
      <c r="D1054" s="106"/>
      <c r="E1054" s="106"/>
      <c r="F1054" s="599"/>
      <c r="G1054" s="99" t="s">
        <v>115</v>
      </c>
      <c r="H1054" s="116" t="s">
        <v>211</v>
      </c>
      <c r="I1054" s="106">
        <v>1309</v>
      </c>
      <c r="J1054" s="106">
        <v>66192</v>
      </c>
      <c r="K1054" s="106">
        <v>66192</v>
      </c>
      <c r="L1054" s="599">
        <f>+K1054/J1054</f>
        <v>1</v>
      </c>
    </row>
    <row r="1055" spans="1:12" s="90" customFormat="1" ht="12.75" customHeight="1">
      <c r="A1055" s="112" t="s">
        <v>45</v>
      </c>
      <c r="B1055" s="100" t="s">
        <v>118</v>
      </c>
      <c r="C1055" s="101"/>
      <c r="D1055" s="101"/>
      <c r="E1055" s="101"/>
      <c r="F1055" s="102"/>
      <c r="G1055" s="112" t="s">
        <v>45</v>
      </c>
      <c r="H1055" s="100" t="s">
        <v>130</v>
      </c>
      <c r="I1055" s="101"/>
      <c r="J1055" s="101"/>
      <c r="K1055" s="101"/>
      <c r="L1055" s="102"/>
    </row>
    <row r="1056" spans="1:12" s="90" customFormat="1" ht="12.75" customHeight="1">
      <c r="A1056" s="112" t="s">
        <v>111</v>
      </c>
      <c r="B1056" s="100" t="s">
        <v>106</v>
      </c>
      <c r="C1056" s="106"/>
      <c r="D1056" s="106"/>
      <c r="E1056" s="106"/>
      <c r="F1056" s="599"/>
      <c r="G1056" s="112" t="s">
        <v>111</v>
      </c>
      <c r="H1056" s="100" t="s">
        <v>131</v>
      </c>
      <c r="I1056" s="106"/>
      <c r="J1056" s="106"/>
      <c r="K1056" s="106"/>
      <c r="L1056" s="599"/>
    </row>
    <row r="1057" spans="1:12" s="90" customFormat="1" ht="12.75" customHeight="1">
      <c r="A1057" s="112" t="s">
        <v>112</v>
      </c>
      <c r="B1057" s="100" t="s">
        <v>39</v>
      </c>
      <c r="C1057" s="106"/>
      <c r="D1057" s="106"/>
      <c r="E1057" s="106"/>
      <c r="F1057" s="599"/>
      <c r="G1057" s="112" t="s">
        <v>112</v>
      </c>
      <c r="H1057" s="100" t="s">
        <v>87</v>
      </c>
      <c r="I1057" s="106"/>
      <c r="J1057" s="106"/>
      <c r="K1057" s="106"/>
      <c r="L1057" s="599"/>
    </row>
    <row r="1058" spans="1:12" s="90" customFormat="1" ht="12.75" customHeight="1">
      <c r="A1058" s="112" t="s">
        <v>113</v>
      </c>
      <c r="B1058" s="100" t="s">
        <v>201</v>
      </c>
      <c r="C1058" s="106"/>
      <c r="D1058" s="106"/>
      <c r="E1058" s="106"/>
      <c r="F1058" s="599"/>
      <c r="G1058" s="112" t="s">
        <v>113</v>
      </c>
      <c r="H1058" s="100" t="s">
        <v>90</v>
      </c>
      <c r="I1058" s="106"/>
      <c r="J1058" s="106"/>
      <c r="K1058" s="106"/>
      <c r="L1058" s="599"/>
    </row>
    <row r="1059" spans="1:12" s="90" customFormat="1" ht="12.75" customHeight="1">
      <c r="A1059" s="112" t="s">
        <v>56</v>
      </c>
      <c r="B1059" s="100" t="s">
        <v>126</v>
      </c>
      <c r="C1059" s="101">
        <v>182496</v>
      </c>
      <c r="D1059" s="101">
        <v>182496</v>
      </c>
      <c r="E1059" s="101">
        <v>182496</v>
      </c>
      <c r="F1059" s="102">
        <f>+E1059/D1059</f>
        <v>1</v>
      </c>
      <c r="G1059" s="112" t="s">
        <v>56</v>
      </c>
      <c r="H1059" s="100" t="s">
        <v>132</v>
      </c>
      <c r="I1059" s="101"/>
      <c r="J1059" s="101"/>
      <c r="K1059" s="101"/>
      <c r="L1059" s="102"/>
    </row>
    <row r="1060" spans="1:12" s="90" customFormat="1" ht="12.75" customHeight="1">
      <c r="A1060" s="99" t="s">
        <v>64</v>
      </c>
      <c r="B1060" s="116" t="s">
        <v>127</v>
      </c>
      <c r="C1060" s="101"/>
      <c r="D1060" s="101"/>
      <c r="E1060" s="101"/>
      <c r="F1060" s="102"/>
      <c r="G1060" s="99" t="s">
        <v>64</v>
      </c>
      <c r="H1060" s="116" t="s">
        <v>133</v>
      </c>
      <c r="I1060" s="101"/>
      <c r="J1060" s="101"/>
      <c r="K1060" s="101"/>
      <c r="L1060" s="102"/>
    </row>
    <row r="1061" spans="1:12" s="124" customFormat="1" ht="12.75" customHeight="1" thickBot="1">
      <c r="A1061" s="117"/>
      <c r="B1061" s="118" t="s">
        <v>148</v>
      </c>
      <c r="C1061" s="88">
        <f>+C1049+C1055+C1059+C1060</f>
        <v>182496</v>
      </c>
      <c r="D1061" s="88">
        <f>+D1049+D1055+D1059+D1060</f>
        <v>182496</v>
      </c>
      <c r="E1061" s="88">
        <f>+E1049+E1055+E1059+E1060</f>
        <v>182496</v>
      </c>
      <c r="F1061" s="119">
        <f>+E1061/D1061</f>
        <v>1</v>
      </c>
      <c r="G1061" s="117"/>
      <c r="H1061" s="118" t="s">
        <v>149</v>
      </c>
      <c r="I1061" s="88">
        <f>I1049+I1055+I1059+I1060</f>
        <v>182496</v>
      </c>
      <c r="J1061" s="88">
        <f>J1049+J1055+J1059+J1060</f>
        <v>182496</v>
      </c>
      <c r="K1061" s="88">
        <f>K1049+K1055+K1059+K1060</f>
        <v>182495</v>
      </c>
      <c r="L1061" s="119">
        <f>+K1061/J1061</f>
        <v>0.999994520427845</v>
      </c>
    </row>
    <row r="1062" spans="1:12" s="126" customFormat="1" ht="12.75" customHeight="1">
      <c r="A1062" s="124"/>
      <c r="B1062" s="124"/>
      <c r="C1062" s="93"/>
      <c r="D1062" s="93"/>
      <c r="E1062" s="93"/>
      <c r="F1062" s="93"/>
      <c r="G1062" s="124"/>
      <c r="H1062" s="124"/>
      <c r="I1062" s="93"/>
      <c r="J1062" s="93"/>
      <c r="K1062" s="93"/>
      <c r="L1062" s="93"/>
    </row>
    <row r="1063" spans="1:12" s="90" customFormat="1" ht="12.75" customHeight="1" thickBot="1">
      <c r="A1063" s="90" t="s">
        <v>812</v>
      </c>
      <c r="B1063" s="124"/>
      <c r="C1063" s="93"/>
      <c r="D1063" s="93"/>
      <c r="E1063" s="93"/>
      <c r="F1063" s="93"/>
      <c r="G1063" s="124"/>
      <c r="H1063" s="124"/>
      <c r="I1063" s="595"/>
      <c r="J1063" s="595"/>
      <c r="K1063" s="93"/>
      <c r="L1063" s="596" t="s">
        <v>216</v>
      </c>
    </row>
    <row r="1064" spans="1:12" s="90" customFormat="1" ht="24.75" customHeight="1">
      <c r="A1064" s="96"/>
      <c r="B1064" s="97" t="s">
        <v>104</v>
      </c>
      <c r="C1064" s="86" t="s">
        <v>227</v>
      </c>
      <c r="D1064" s="86" t="s">
        <v>844</v>
      </c>
      <c r="E1064" s="86" t="s">
        <v>303</v>
      </c>
      <c r="F1064" s="87" t="s">
        <v>304</v>
      </c>
      <c r="G1064" s="96">
        <v>127</v>
      </c>
      <c r="H1064" s="97" t="s">
        <v>105</v>
      </c>
      <c r="I1064" s="86" t="s">
        <v>227</v>
      </c>
      <c r="J1064" s="86" t="s">
        <v>844</v>
      </c>
      <c r="K1064" s="86" t="s">
        <v>303</v>
      </c>
      <c r="L1064" s="87" t="s">
        <v>304</v>
      </c>
    </row>
    <row r="1065" spans="1:12" s="90" customFormat="1" ht="12.75" customHeight="1">
      <c r="A1065" s="99" t="s">
        <v>23</v>
      </c>
      <c r="B1065" s="100" t="s">
        <v>108</v>
      </c>
      <c r="C1065" s="101"/>
      <c r="D1065" s="101"/>
      <c r="E1065" s="101"/>
      <c r="F1065" s="102"/>
      <c r="G1065" s="99" t="s">
        <v>23</v>
      </c>
      <c r="H1065" s="100" t="s">
        <v>129</v>
      </c>
      <c r="I1065" s="101">
        <f>SUM(I1066:I1070)</f>
        <v>2008468</v>
      </c>
      <c r="J1065" s="101">
        <f>SUM(J1066:J1070)</f>
        <v>2008468</v>
      </c>
      <c r="K1065" s="101">
        <f>SUM(K1066:K1070)</f>
        <v>1121962</v>
      </c>
      <c r="L1065" s="102">
        <f>+K1065/J1065</f>
        <v>0.558615820615514</v>
      </c>
    </row>
    <row r="1066" spans="1:12" s="90" customFormat="1" ht="12.75" customHeight="1">
      <c r="A1066" s="99" t="s">
        <v>111</v>
      </c>
      <c r="B1066" s="116" t="s">
        <v>209</v>
      </c>
      <c r="C1066" s="106"/>
      <c r="D1066" s="106"/>
      <c r="E1066" s="106"/>
      <c r="F1066" s="599"/>
      <c r="G1066" s="99" t="s">
        <v>111</v>
      </c>
      <c r="H1066" s="116" t="s">
        <v>80</v>
      </c>
      <c r="I1066" s="106">
        <f>1488460</f>
        <v>1488460</v>
      </c>
      <c r="J1066" s="106">
        <f>1488460</f>
        <v>1488460</v>
      </c>
      <c r="K1066" s="106">
        <v>957023</v>
      </c>
      <c r="L1066" s="599">
        <f>+K1066/J1066</f>
        <v>0.6429618531905459</v>
      </c>
    </row>
    <row r="1067" spans="1:12" s="90" customFormat="1" ht="12.75" customHeight="1">
      <c r="A1067" s="99"/>
      <c r="B1067" s="116" t="s">
        <v>210</v>
      </c>
      <c r="C1067" s="106"/>
      <c r="D1067" s="106"/>
      <c r="E1067" s="106"/>
      <c r="F1067" s="599"/>
      <c r="G1067" s="99" t="s">
        <v>112</v>
      </c>
      <c r="H1067" s="116" t="s">
        <v>147</v>
      </c>
      <c r="I1067" s="106">
        <v>397199</v>
      </c>
      <c r="J1067" s="106">
        <v>397199</v>
      </c>
      <c r="K1067" s="106">
        <v>160748</v>
      </c>
      <c r="L1067" s="599">
        <f>+K1067/J1067</f>
        <v>0.4047039393351947</v>
      </c>
    </row>
    <row r="1068" spans="1:12" s="90" customFormat="1" ht="12.75" customHeight="1">
      <c r="A1068" s="99" t="s">
        <v>112</v>
      </c>
      <c r="B1068" s="116" t="s">
        <v>9</v>
      </c>
      <c r="C1068" s="106"/>
      <c r="D1068" s="106"/>
      <c r="E1068" s="106"/>
      <c r="F1068" s="599"/>
      <c r="G1068" s="99" t="s">
        <v>113</v>
      </c>
      <c r="H1068" s="116" t="s">
        <v>83</v>
      </c>
      <c r="I1068" s="106">
        <f>96700+26109</f>
        <v>122809</v>
      </c>
      <c r="J1068" s="106">
        <f>96700+26109</f>
        <v>122809</v>
      </c>
      <c r="K1068" s="106">
        <v>4191</v>
      </c>
      <c r="L1068" s="599">
        <f>+K1068/J1068</f>
        <v>0.03412616339193381</v>
      </c>
    </row>
    <row r="1069" spans="1:12" s="90" customFormat="1" ht="12.75" customHeight="1">
      <c r="A1069" s="99" t="s">
        <v>113</v>
      </c>
      <c r="B1069" s="116" t="s">
        <v>170</v>
      </c>
      <c r="C1069" s="106"/>
      <c r="D1069" s="106"/>
      <c r="E1069" s="106"/>
      <c r="F1069" s="599"/>
      <c r="G1069" s="99" t="s">
        <v>114</v>
      </c>
      <c r="H1069" s="116" t="s">
        <v>84</v>
      </c>
      <c r="I1069" s="106"/>
      <c r="J1069" s="106"/>
      <c r="K1069" s="106"/>
      <c r="L1069" s="599"/>
    </row>
    <row r="1070" spans="1:12" s="90" customFormat="1" ht="12.75" customHeight="1">
      <c r="A1070" s="99" t="s">
        <v>114</v>
      </c>
      <c r="B1070" s="116" t="s">
        <v>181</v>
      </c>
      <c r="C1070" s="106"/>
      <c r="D1070" s="106"/>
      <c r="E1070" s="106"/>
      <c r="F1070" s="599"/>
      <c r="G1070" s="99" t="s">
        <v>115</v>
      </c>
      <c r="H1070" s="116" t="s">
        <v>211</v>
      </c>
      <c r="I1070" s="106"/>
      <c r="J1070" s="106"/>
      <c r="K1070" s="106"/>
      <c r="L1070" s="599"/>
    </row>
    <row r="1071" spans="1:12" s="90" customFormat="1" ht="12.75" customHeight="1">
      <c r="A1071" s="112" t="s">
        <v>45</v>
      </c>
      <c r="B1071" s="100" t="s">
        <v>118</v>
      </c>
      <c r="C1071" s="101"/>
      <c r="D1071" s="101"/>
      <c r="E1071" s="101"/>
      <c r="F1071" s="102"/>
      <c r="G1071" s="112" t="s">
        <v>45</v>
      </c>
      <c r="H1071" s="100" t="s">
        <v>130</v>
      </c>
      <c r="I1071" s="101"/>
      <c r="J1071" s="101"/>
      <c r="K1071" s="101"/>
      <c r="L1071" s="102"/>
    </row>
    <row r="1072" spans="1:12" s="90" customFormat="1" ht="12.75" customHeight="1">
      <c r="A1072" s="112" t="s">
        <v>111</v>
      </c>
      <c r="B1072" s="100" t="s">
        <v>106</v>
      </c>
      <c r="C1072" s="106"/>
      <c r="D1072" s="106"/>
      <c r="E1072" s="106"/>
      <c r="F1072" s="599"/>
      <c r="G1072" s="112" t="s">
        <v>111</v>
      </c>
      <c r="H1072" s="100" t="s">
        <v>131</v>
      </c>
      <c r="I1072" s="106"/>
      <c r="J1072" s="106"/>
      <c r="K1072" s="106"/>
      <c r="L1072" s="599"/>
    </row>
    <row r="1073" spans="1:12" s="90" customFormat="1" ht="12.75" customHeight="1">
      <c r="A1073" s="112" t="s">
        <v>112</v>
      </c>
      <c r="B1073" s="100" t="s">
        <v>39</v>
      </c>
      <c r="C1073" s="106"/>
      <c r="D1073" s="106"/>
      <c r="E1073" s="106"/>
      <c r="F1073" s="599"/>
      <c r="G1073" s="112" t="s">
        <v>112</v>
      </c>
      <c r="H1073" s="100" t="s">
        <v>87</v>
      </c>
      <c r="I1073" s="106"/>
      <c r="J1073" s="106"/>
      <c r="K1073" s="106"/>
      <c r="L1073" s="599"/>
    </row>
    <row r="1074" spans="1:12" s="90" customFormat="1" ht="12.75" customHeight="1">
      <c r="A1074" s="112" t="s">
        <v>113</v>
      </c>
      <c r="B1074" s="100" t="s">
        <v>201</v>
      </c>
      <c r="C1074" s="106"/>
      <c r="D1074" s="106"/>
      <c r="E1074" s="106"/>
      <c r="F1074" s="599"/>
      <c r="G1074" s="112" t="s">
        <v>113</v>
      </c>
      <c r="H1074" s="100" t="s">
        <v>90</v>
      </c>
      <c r="I1074" s="106"/>
      <c r="J1074" s="106"/>
      <c r="K1074" s="106"/>
      <c r="L1074" s="599"/>
    </row>
    <row r="1075" spans="1:12" s="90" customFormat="1" ht="12.75" customHeight="1">
      <c r="A1075" s="112" t="s">
        <v>56</v>
      </c>
      <c r="B1075" s="100" t="s">
        <v>126</v>
      </c>
      <c r="C1075" s="101">
        <v>2008468</v>
      </c>
      <c r="D1075" s="101">
        <v>2008468</v>
      </c>
      <c r="E1075" s="101">
        <v>2008468</v>
      </c>
      <c r="F1075" s="102">
        <f>+E1075/D1075</f>
        <v>1</v>
      </c>
      <c r="G1075" s="112" t="s">
        <v>56</v>
      </c>
      <c r="H1075" s="100" t="s">
        <v>132</v>
      </c>
      <c r="I1075" s="101"/>
      <c r="J1075" s="101"/>
      <c r="K1075" s="101"/>
      <c r="L1075" s="102"/>
    </row>
    <row r="1076" spans="1:12" s="90" customFormat="1" ht="12.75" customHeight="1">
      <c r="A1076" s="99" t="s">
        <v>64</v>
      </c>
      <c r="B1076" s="116" t="s">
        <v>127</v>
      </c>
      <c r="C1076" s="101"/>
      <c r="D1076" s="101"/>
      <c r="E1076" s="101"/>
      <c r="F1076" s="102"/>
      <c r="G1076" s="99" t="s">
        <v>64</v>
      </c>
      <c r="H1076" s="116" t="s">
        <v>133</v>
      </c>
      <c r="I1076" s="101"/>
      <c r="J1076" s="101"/>
      <c r="K1076" s="101"/>
      <c r="L1076" s="102"/>
    </row>
    <row r="1077" spans="1:12" s="124" customFormat="1" ht="12.75" customHeight="1" thickBot="1">
      <c r="A1077" s="117"/>
      <c r="B1077" s="118" t="s">
        <v>148</v>
      </c>
      <c r="C1077" s="88">
        <f>+C1065+C1071+C1075+C1076</f>
        <v>2008468</v>
      </c>
      <c r="D1077" s="88">
        <f>+D1065+D1071+D1075+D1076</f>
        <v>2008468</v>
      </c>
      <c r="E1077" s="88">
        <f>+E1065+E1071+E1075+E1076</f>
        <v>2008468</v>
      </c>
      <c r="F1077" s="119">
        <f>+E1077/D1077</f>
        <v>1</v>
      </c>
      <c r="G1077" s="117"/>
      <c r="H1077" s="118" t="s">
        <v>149</v>
      </c>
      <c r="I1077" s="88">
        <f>I1065+I1071+I1075+I1076</f>
        <v>2008468</v>
      </c>
      <c r="J1077" s="88">
        <f>J1065+J1071+J1075+J1076</f>
        <v>2008468</v>
      </c>
      <c r="K1077" s="88">
        <f>K1065+K1071+K1075+K1076</f>
        <v>1121962</v>
      </c>
      <c r="L1077" s="119">
        <f>+K1077/J1077</f>
        <v>0.558615820615514</v>
      </c>
    </row>
    <row r="1078" spans="1:12" s="126" customFormat="1" ht="24" customHeight="1">
      <c r="A1078" s="124"/>
      <c r="B1078" s="124"/>
      <c r="C1078" s="93"/>
      <c r="D1078" s="93"/>
      <c r="E1078" s="93"/>
      <c r="F1078" s="93"/>
      <c r="G1078" s="124"/>
      <c r="H1078" s="124"/>
      <c r="I1078" s="93"/>
      <c r="J1078" s="93"/>
      <c r="K1078" s="93"/>
      <c r="L1078" s="93"/>
    </row>
    <row r="1079" spans="1:12" s="90" customFormat="1" ht="12.75" customHeight="1" thickBot="1">
      <c r="A1079" s="90" t="s">
        <v>253</v>
      </c>
      <c r="B1079" s="124"/>
      <c r="E1079" s="93"/>
      <c r="F1079" s="93"/>
      <c r="G1079" s="124"/>
      <c r="H1079" s="124"/>
      <c r="I1079" s="595"/>
      <c r="J1079" s="595"/>
      <c r="K1079" s="93"/>
      <c r="L1079" s="596" t="s">
        <v>216</v>
      </c>
    </row>
    <row r="1080" spans="1:12" s="90" customFormat="1" ht="24.75" customHeight="1">
      <c r="A1080" s="96"/>
      <c r="B1080" s="97" t="s">
        <v>104</v>
      </c>
      <c r="C1080" s="86" t="s">
        <v>227</v>
      </c>
      <c r="D1080" s="86" t="s">
        <v>844</v>
      </c>
      <c r="E1080" s="86" t="s">
        <v>303</v>
      </c>
      <c r="F1080" s="87" t="s">
        <v>304</v>
      </c>
      <c r="G1080" s="96">
        <v>81</v>
      </c>
      <c r="H1080" s="97" t="s">
        <v>105</v>
      </c>
      <c r="I1080" s="86" t="s">
        <v>227</v>
      </c>
      <c r="J1080" s="86" t="s">
        <v>844</v>
      </c>
      <c r="K1080" s="86" t="s">
        <v>303</v>
      </c>
      <c r="L1080" s="87" t="s">
        <v>304</v>
      </c>
    </row>
    <row r="1081" spans="1:12" s="90" customFormat="1" ht="12.75" customHeight="1">
      <c r="A1081" s="99" t="s">
        <v>23</v>
      </c>
      <c r="B1081" s="100" t="s">
        <v>108</v>
      </c>
      <c r="C1081" s="101"/>
      <c r="D1081" s="101"/>
      <c r="E1081" s="101"/>
      <c r="F1081" s="102"/>
      <c r="G1081" s="99" t="s">
        <v>23</v>
      </c>
      <c r="H1081" s="100" t="s">
        <v>129</v>
      </c>
      <c r="I1081" s="101">
        <f>SUM(I1082:I1086)</f>
        <v>5930385</v>
      </c>
      <c r="J1081" s="101">
        <f>SUM(J1082:J1086)</f>
        <v>5930385</v>
      </c>
      <c r="K1081" s="101">
        <f>SUM(K1082:K1086)</f>
        <v>2322171</v>
      </c>
      <c r="L1081" s="102">
        <f>+K1081/J1081</f>
        <v>0.39157171077425834</v>
      </c>
    </row>
    <row r="1082" spans="1:12" s="90" customFormat="1" ht="12.75" customHeight="1">
      <c r="A1082" s="99" t="s">
        <v>111</v>
      </c>
      <c r="B1082" s="116" t="s">
        <v>209</v>
      </c>
      <c r="C1082" s="106"/>
      <c r="D1082" s="106"/>
      <c r="E1082" s="106"/>
      <c r="F1082" s="599"/>
      <c r="G1082" s="99" t="s">
        <v>111</v>
      </c>
      <c r="H1082" s="116" t="s">
        <v>80</v>
      </c>
      <c r="I1082" s="106">
        <v>1399474</v>
      </c>
      <c r="J1082" s="106">
        <v>1399474</v>
      </c>
      <c r="K1082" s="106">
        <v>0</v>
      </c>
      <c r="L1082" s="599">
        <f>+K1082/J1082</f>
        <v>0</v>
      </c>
    </row>
    <row r="1083" spans="1:12" s="90" customFormat="1" ht="12.75" customHeight="1">
      <c r="A1083" s="99"/>
      <c r="B1083" s="116" t="s">
        <v>210</v>
      </c>
      <c r="C1083" s="106"/>
      <c r="D1083" s="106"/>
      <c r="E1083" s="106"/>
      <c r="F1083" s="599"/>
      <c r="G1083" s="99" t="s">
        <v>112</v>
      </c>
      <c r="H1083" s="116" t="s">
        <v>147</v>
      </c>
      <c r="I1083" s="106">
        <v>253867</v>
      </c>
      <c r="J1083" s="106">
        <v>253867</v>
      </c>
      <c r="K1083" s="106">
        <v>0</v>
      </c>
      <c r="L1083" s="599">
        <f>+K1083/J1083</f>
        <v>0</v>
      </c>
    </row>
    <row r="1084" spans="1:12" s="90" customFormat="1" ht="12.75" customHeight="1">
      <c r="A1084" s="99" t="s">
        <v>112</v>
      </c>
      <c r="B1084" s="116" t="s">
        <v>9</v>
      </c>
      <c r="C1084" s="106"/>
      <c r="D1084" s="106"/>
      <c r="E1084" s="106"/>
      <c r="F1084" s="599"/>
      <c r="G1084" s="99" t="s">
        <v>113</v>
      </c>
      <c r="H1084" s="116" t="s">
        <v>83</v>
      </c>
      <c r="I1084" s="106">
        <f>3360000+8268+908776</f>
        <v>4277044</v>
      </c>
      <c r="J1084" s="106">
        <v>3904323</v>
      </c>
      <c r="K1084" s="106">
        <v>1949450</v>
      </c>
      <c r="L1084" s="599">
        <f>+K1084/J1084</f>
        <v>0.4993055134014271</v>
      </c>
    </row>
    <row r="1085" spans="1:12" s="90" customFormat="1" ht="12.75" customHeight="1">
      <c r="A1085" s="99" t="s">
        <v>113</v>
      </c>
      <c r="B1085" s="116" t="s">
        <v>170</v>
      </c>
      <c r="C1085" s="106"/>
      <c r="D1085" s="106"/>
      <c r="E1085" s="106"/>
      <c r="F1085" s="599"/>
      <c r="G1085" s="99" t="s">
        <v>114</v>
      </c>
      <c r="H1085" s="116" t="s">
        <v>84</v>
      </c>
      <c r="I1085" s="106"/>
      <c r="J1085" s="106"/>
      <c r="K1085" s="106"/>
      <c r="L1085" s="599"/>
    </row>
    <row r="1086" spans="1:12" s="90" customFormat="1" ht="12.75" customHeight="1">
      <c r="A1086" s="99" t="s">
        <v>114</v>
      </c>
      <c r="B1086" s="116" t="s">
        <v>181</v>
      </c>
      <c r="C1086" s="106"/>
      <c r="D1086" s="106"/>
      <c r="E1086" s="106"/>
      <c r="F1086" s="599"/>
      <c r="G1086" s="99" t="s">
        <v>115</v>
      </c>
      <c r="H1086" s="116" t="s">
        <v>211</v>
      </c>
      <c r="I1086" s="106"/>
      <c r="J1086" s="106">
        <v>372721</v>
      </c>
      <c r="K1086" s="106">
        <v>372721</v>
      </c>
      <c r="L1086" s="599">
        <f>+K1086/J1086</f>
        <v>1</v>
      </c>
    </row>
    <row r="1087" spans="1:12" s="90" customFormat="1" ht="12.75" customHeight="1">
      <c r="A1087" s="112" t="s">
        <v>45</v>
      </c>
      <c r="B1087" s="100" t="s">
        <v>118</v>
      </c>
      <c r="C1087" s="101"/>
      <c r="D1087" s="101"/>
      <c r="E1087" s="101"/>
      <c r="F1087" s="102"/>
      <c r="G1087" s="112" t="s">
        <v>45</v>
      </c>
      <c r="H1087" s="100" t="s">
        <v>130</v>
      </c>
      <c r="I1087" s="101"/>
      <c r="J1087" s="101"/>
      <c r="K1087" s="101"/>
      <c r="L1087" s="102"/>
    </row>
    <row r="1088" spans="1:12" s="90" customFormat="1" ht="12.75" customHeight="1">
      <c r="A1088" s="112" t="s">
        <v>111</v>
      </c>
      <c r="B1088" s="100" t="s">
        <v>106</v>
      </c>
      <c r="C1088" s="106"/>
      <c r="D1088" s="106"/>
      <c r="E1088" s="106"/>
      <c r="F1088" s="599"/>
      <c r="G1088" s="112" t="s">
        <v>111</v>
      </c>
      <c r="H1088" s="100" t="s">
        <v>131</v>
      </c>
      <c r="I1088" s="106"/>
      <c r="J1088" s="106"/>
      <c r="K1088" s="106"/>
      <c r="L1088" s="599"/>
    </row>
    <row r="1089" spans="1:12" s="90" customFormat="1" ht="12.75" customHeight="1">
      <c r="A1089" s="112" t="s">
        <v>112</v>
      </c>
      <c r="B1089" s="100" t="s">
        <v>39</v>
      </c>
      <c r="C1089" s="106"/>
      <c r="D1089" s="106"/>
      <c r="E1089" s="106"/>
      <c r="F1089" s="599"/>
      <c r="G1089" s="112" t="s">
        <v>112</v>
      </c>
      <c r="H1089" s="100" t="s">
        <v>87</v>
      </c>
      <c r="I1089" s="106"/>
      <c r="J1089" s="106"/>
      <c r="K1089" s="106"/>
      <c r="L1089" s="599"/>
    </row>
    <row r="1090" spans="1:12" s="90" customFormat="1" ht="12.75" customHeight="1">
      <c r="A1090" s="112" t="s">
        <v>113</v>
      </c>
      <c r="B1090" s="100" t="s">
        <v>201</v>
      </c>
      <c r="C1090" s="106"/>
      <c r="D1090" s="106"/>
      <c r="E1090" s="106"/>
      <c r="F1090" s="599"/>
      <c r="G1090" s="112" t="s">
        <v>113</v>
      </c>
      <c r="H1090" s="100" t="s">
        <v>90</v>
      </c>
      <c r="I1090" s="106"/>
      <c r="J1090" s="106"/>
      <c r="K1090" s="106"/>
      <c r="L1090" s="599"/>
    </row>
    <row r="1091" spans="1:12" s="90" customFormat="1" ht="12.75" customHeight="1">
      <c r="A1091" s="112" t="s">
        <v>56</v>
      </c>
      <c r="B1091" s="100" t="s">
        <v>126</v>
      </c>
      <c r="C1091" s="101">
        <v>5930385</v>
      </c>
      <c r="D1091" s="101">
        <v>5930385</v>
      </c>
      <c r="E1091" s="101">
        <v>5930385</v>
      </c>
      <c r="F1091" s="102">
        <f>+E1091/D1091</f>
        <v>1</v>
      </c>
      <c r="G1091" s="112" t="s">
        <v>56</v>
      </c>
      <c r="H1091" s="100" t="s">
        <v>132</v>
      </c>
      <c r="I1091" s="101"/>
      <c r="J1091" s="101"/>
      <c r="K1091" s="101"/>
      <c r="L1091" s="102"/>
    </row>
    <row r="1092" spans="1:12" s="90" customFormat="1" ht="12.75" customHeight="1">
      <c r="A1092" s="99" t="s">
        <v>64</v>
      </c>
      <c r="B1092" s="116" t="s">
        <v>127</v>
      </c>
      <c r="C1092" s="101"/>
      <c r="D1092" s="101"/>
      <c r="E1092" s="101"/>
      <c r="F1092" s="102"/>
      <c r="G1092" s="99" t="s">
        <v>64</v>
      </c>
      <c r="H1092" s="116" t="s">
        <v>133</v>
      </c>
      <c r="I1092" s="101"/>
      <c r="J1092" s="101"/>
      <c r="K1092" s="101"/>
      <c r="L1092" s="102"/>
    </row>
    <row r="1093" spans="1:12" s="124" customFormat="1" ht="12.75" customHeight="1" thickBot="1">
      <c r="A1093" s="117"/>
      <c r="B1093" s="118" t="s">
        <v>148</v>
      </c>
      <c r="C1093" s="88">
        <f>+C1081+C1087+C1091+C1092</f>
        <v>5930385</v>
      </c>
      <c r="D1093" s="88">
        <f>+D1081+D1087+D1091+D1092</f>
        <v>5930385</v>
      </c>
      <c r="E1093" s="88">
        <f>+E1081+E1087+E1091+E1092</f>
        <v>5930385</v>
      </c>
      <c r="F1093" s="119">
        <f>+E1093/D1093</f>
        <v>1</v>
      </c>
      <c r="G1093" s="117"/>
      <c r="H1093" s="118" t="s">
        <v>149</v>
      </c>
      <c r="I1093" s="88">
        <f>I1081+I1087+I1091+I1092</f>
        <v>5930385</v>
      </c>
      <c r="J1093" s="88">
        <f>J1081+J1087+J1091+J1092</f>
        <v>5930385</v>
      </c>
      <c r="K1093" s="88">
        <f>K1081+K1087+K1091+K1092</f>
        <v>2322171</v>
      </c>
      <c r="L1093" s="119">
        <f>+K1093/J1093</f>
        <v>0.39157171077425834</v>
      </c>
    </row>
    <row r="1094" spans="1:12" s="126" customFormat="1" ht="12.75" customHeight="1">
      <c r="A1094" s="124"/>
      <c r="B1094" s="124"/>
      <c r="C1094" s="93"/>
      <c r="D1094" s="93"/>
      <c r="E1094" s="93"/>
      <c r="F1094" s="93"/>
      <c r="G1094" s="124"/>
      <c r="H1094" s="124"/>
      <c r="I1094" s="93"/>
      <c r="J1094" s="93"/>
      <c r="K1094" s="93"/>
      <c r="L1094" s="93"/>
    </row>
    <row r="1095" spans="1:12" s="90" customFormat="1" ht="12.75" customHeight="1" thickBot="1">
      <c r="A1095" s="90" t="s">
        <v>276</v>
      </c>
      <c r="B1095" s="124"/>
      <c r="C1095" s="93"/>
      <c r="D1095" s="93"/>
      <c r="E1095" s="93"/>
      <c r="F1095" s="93"/>
      <c r="G1095" s="124"/>
      <c r="H1095" s="124"/>
      <c r="I1095" s="595"/>
      <c r="J1095" s="595"/>
      <c r="K1095" s="93"/>
      <c r="L1095" s="596" t="s">
        <v>216</v>
      </c>
    </row>
    <row r="1096" spans="1:12" s="90" customFormat="1" ht="24.75" customHeight="1">
      <c r="A1096" s="96"/>
      <c r="B1096" s="97" t="s">
        <v>104</v>
      </c>
      <c r="C1096" s="86" t="s">
        <v>227</v>
      </c>
      <c r="D1096" s="86" t="s">
        <v>844</v>
      </c>
      <c r="E1096" s="86" t="s">
        <v>303</v>
      </c>
      <c r="F1096" s="87" t="s">
        <v>304</v>
      </c>
      <c r="G1096" s="96">
        <v>83</v>
      </c>
      <c r="H1096" s="97" t="s">
        <v>105</v>
      </c>
      <c r="I1096" s="86" t="s">
        <v>227</v>
      </c>
      <c r="J1096" s="86" t="s">
        <v>844</v>
      </c>
      <c r="K1096" s="86" t="s">
        <v>303</v>
      </c>
      <c r="L1096" s="87" t="s">
        <v>304</v>
      </c>
    </row>
    <row r="1097" spans="1:12" s="90" customFormat="1" ht="12.75" customHeight="1">
      <c r="A1097" s="99" t="s">
        <v>23</v>
      </c>
      <c r="B1097" s="100" t="s">
        <v>108</v>
      </c>
      <c r="C1097" s="101"/>
      <c r="D1097" s="101"/>
      <c r="E1097" s="101"/>
      <c r="F1097" s="102"/>
      <c r="G1097" s="99" t="s">
        <v>23</v>
      </c>
      <c r="H1097" s="100" t="s">
        <v>129</v>
      </c>
      <c r="I1097" s="101"/>
      <c r="J1097" s="101"/>
      <c r="K1097" s="101"/>
      <c r="L1097" s="102"/>
    </row>
    <row r="1098" spans="1:12" s="90" customFormat="1" ht="12.75" customHeight="1">
      <c r="A1098" s="99" t="s">
        <v>111</v>
      </c>
      <c r="B1098" s="116" t="s">
        <v>209</v>
      </c>
      <c r="C1098" s="106"/>
      <c r="D1098" s="106"/>
      <c r="E1098" s="106"/>
      <c r="F1098" s="599"/>
      <c r="G1098" s="99" t="s">
        <v>111</v>
      </c>
      <c r="H1098" s="116" t="s">
        <v>80</v>
      </c>
      <c r="I1098" s="106"/>
      <c r="J1098" s="106"/>
      <c r="K1098" s="106"/>
      <c r="L1098" s="599"/>
    </row>
    <row r="1099" spans="1:12" s="90" customFormat="1" ht="12.75" customHeight="1">
      <c r="A1099" s="99"/>
      <c r="B1099" s="116" t="s">
        <v>210</v>
      </c>
      <c r="C1099" s="106"/>
      <c r="D1099" s="106"/>
      <c r="E1099" s="106"/>
      <c r="F1099" s="599"/>
      <c r="G1099" s="99" t="s">
        <v>112</v>
      </c>
      <c r="H1099" s="116" t="s">
        <v>147</v>
      </c>
      <c r="I1099" s="106"/>
      <c r="J1099" s="106"/>
      <c r="K1099" s="106"/>
      <c r="L1099" s="599"/>
    </row>
    <row r="1100" spans="1:12" s="90" customFormat="1" ht="12.75" customHeight="1">
      <c r="A1100" s="99" t="s">
        <v>112</v>
      </c>
      <c r="B1100" s="116" t="s">
        <v>9</v>
      </c>
      <c r="C1100" s="106"/>
      <c r="D1100" s="106"/>
      <c r="E1100" s="106"/>
      <c r="F1100" s="599"/>
      <c r="G1100" s="99" t="s">
        <v>113</v>
      </c>
      <c r="H1100" s="116" t="s">
        <v>83</v>
      </c>
      <c r="I1100" s="106"/>
      <c r="J1100" s="106"/>
      <c r="K1100" s="106"/>
      <c r="L1100" s="599"/>
    </row>
    <row r="1101" spans="1:12" s="90" customFormat="1" ht="12.75" customHeight="1">
      <c r="A1101" s="99" t="s">
        <v>113</v>
      </c>
      <c r="B1101" s="116" t="s">
        <v>170</v>
      </c>
      <c r="C1101" s="106"/>
      <c r="D1101" s="106"/>
      <c r="E1101" s="106"/>
      <c r="F1101" s="599"/>
      <c r="G1101" s="99" t="s">
        <v>114</v>
      </c>
      <c r="H1101" s="116" t="s">
        <v>84</v>
      </c>
      <c r="I1101" s="106"/>
      <c r="J1101" s="106"/>
      <c r="K1101" s="106"/>
      <c r="L1101" s="599"/>
    </row>
    <row r="1102" spans="1:12" s="90" customFormat="1" ht="12.75" customHeight="1">
      <c r="A1102" s="99" t="s">
        <v>114</v>
      </c>
      <c r="B1102" s="116" t="s">
        <v>181</v>
      </c>
      <c r="C1102" s="106"/>
      <c r="D1102" s="106"/>
      <c r="E1102" s="106"/>
      <c r="F1102" s="599"/>
      <c r="G1102" s="99" t="s">
        <v>115</v>
      </c>
      <c r="H1102" s="116" t="s">
        <v>211</v>
      </c>
      <c r="I1102" s="106"/>
      <c r="J1102" s="106"/>
      <c r="K1102" s="106"/>
      <c r="L1102" s="599"/>
    </row>
    <row r="1103" spans="1:12" s="90" customFormat="1" ht="12.75" customHeight="1">
      <c r="A1103" s="112" t="s">
        <v>45</v>
      </c>
      <c r="B1103" s="100" t="s">
        <v>118</v>
      </c>
      <c r="C1103" s="101"/>
      <c r="D1103" s="101"/>
      <c r="E1103" s="101"/>
      <c r="F1103" s="102"/>
      <c r="G1103" s="112" t="s">
        <v>45</v>
      </c>
      <c r="H1103" s="100" t="s">
        <v>130</v>
      </c>
      <c r="I1103" s="101">
        <f>I1104+I1105+I1106</f>
        <v>305809</v>
      </c>
      <c r="J1103" s="101">
        <f>J1104+J1105+J1106</f>
        <v>305809</v>
      </c>
      <c r="K1103" s="101">
        <v>305809</v>
      </c>
      <c r="L1103" s="102">
        <f>+K1103/J1103</f>
        <v>1</v>
      </c>
    </row>
    <row r="1104" spans="1:12" s="90" customFormat="1" ht="12.75" customHeight="1">
      <c r="A1104" s="112" t="s">
        <v>111</v>
      </c>
      <c r="B1104" s="100" t="s">
        <v>106</v>
      </c>
      <c r="C1104" s="106"/>
      <c r="D1104" s="106"/>
      <c r="E1104" s="106"/>
      <c r="F1104" s="599"/>
      <c r="G1104" s="112" t="s">
        <v>111</v>
      </c>
      <c r="H1104" s="100" t="s">
        <v>131</v>
      </c>
      <c r="I1104" s="106"/>
      <c r="J1104" s="106"/>
      <c r="K1104" s="106"/>
      <c r="L1104" s="599"/>
    </row>
    <row r="1105" spans="1:12" s="90" customFormat="1" ht="12.75" customHeight="1">
      <c r="A1105" s="112" t="s">
        <v>112</v>
      </c>
      <c r="B1105" s="100" t="s">
        <v>39</v>
      </c>
      <c r="C1105" s="106"/>
      <c r="D1105" s="106"/>
      <c r="E1105" s="106"/>
      <c r="F1105" s="599"/>
      <c r="G1105" s="112" t="s">
        <v>112</v>
      </c>
      <c r="H1105" s="100" t="s">
        <v>87</v>
      </c>
      <c r="I1105" s="106"/>
      <c r="J1105" s="106"/>
      <c r="K1105" s="106"/>
      <c r="L1105" s="599"/>
    </row>
    <row r="1106" spans="1:12" s="90" customFormat="1" ht="12.75" customHeight="1">
      <c r="A1106" s="112" t="s">
        <v>113</v>
      </c>
      <c r="B1106" s="100" t="s">
        <v>201</v>
      </c>
      <c r="C1106" s="106"/>
      <c r="D1106" s="106"/>
      <c r="E1106" s="106"/>
      <c r="F1106" s="599"/>
      <c r="G1106" s="112" t="s">
        <v>113</v>
      </c>
      <c r="H1106" s="100" t="s">
        <v>90</v>
      </c>
      <c r="I1106" s="106">
        <v>305809</v>
      </c>
      <c r="J1106" s="106">
        <v>305809</v>
      </c>
      <c r="K1106" s="106">
        <v>305809</v>
      </c>
      <c r="L1106" s="599">
        <f>+K1106/J1106</f>
        <v>1</v>
      </c>
    </row>
    <row r="1107" spans="1:12" s="90" customFormat="1" ht="12.75" customHeight="1">
      <c r="A1107" s="112" t="s">
        <v>56</v>
      </c>
      <c r="B1107" s="100" t="s">
        <v>126</v>
      </c>
      <c r="C1107" s="101"/>
      <c r="D1107" s="101"/>
      <c r="E1107" s="101"/>
      <c r="F1107" s="102"/>
      <c r="G1107" s="112" t="s">
        <v>56</v>
      </c>
      <c r="H1107" s="100" t="s">
        <v>132</v>
      </c>
      <c r="I1107" s="101"/>
      <c r="J1107" s="101"/>
      <c r="K1107" s="101"/>
      <c r="L1107" s="102"/>
    </row>
    <row r="1108" spans="1:12" s="90" customFormat="1" ht="12.75" customHeight="1">
      <c r="A1108" s="99" t="s">
        <v>64</v>
      </c>
      <c r="B1108" s="116" t="s">
        <v>127</v>
      </c>
      <c r="C1108" s="101">
        <v>305809</v>
      </c>
      <c r="D1108" s="101">
        <v>305809</v>
      </c>
      <c r="E1108" s="101">
        <v>305809</v>
      </c>
      <c r="F1108" s="102">
        <f>+E1108/D1108</f>
        <v>1</v>
      </c>
      <c r="G1108" s="99" t="s">
        <v>64</v>
      </c>
      <c r="H1108" s="116" t="s">
        <v>133</v>
      </c>
      <c r="I1108" s="101"/>
      <c r="J1108" s="101"/>
      <c r="K1108" s="101"/>
      <c r="L1108" s="102"/>
    </row>
    <row r="1109" spans="1:12" s="124" customFormat="1" ht="12.75" customHeight="1" thickBot="1">
      <c r="A1109" s="117"/>
      <c r="B1109" s="118" t="s">
        <v>148</v>
      </c>
      <c r="C1109" s="88">
        <f>+C1097+C1103+C1107+C1108</f>
        <v>305809</v>
      </c>
      <c r="D1109" s="88">
        <f>+D1097+D1103+D1107+D1108</f>
        <v>305809</v>
      </c>
      <c r="E1109" s="88">
        <f>+E1097+E1103+E1107+E1108</f>
        <v>305809</v>
      </c>
      <c r="F1109" s="119">
        <f>+E1109/D1109</f>
        <v>1</v>
      </c>
      <c r="G1109" s="117"/>
      <c r="H1109" s="118" t="s">
        <v>149</v>
      </c>
      <c r="I1109" s="88">
        <f>I1097+I1103+I1107+I1108</f>
        <v>305809</v>
      </c>
      <c r="J1109" s="88">
        <f>J1097+J1103+J1107+J1108</f>
        <v>305809</v>
      </c>
      <c r="K1109" s="88">
        <f>K1097+K1103+K1107+K1108</f>
        <v>305809</v>
      </c>
      <c r="L1109" s="119">
        <f>+K1109/J1109</f>
        <v>1</v>
      </c>
    </row>
    <row r="1110" spans="1:12" s="126" customFormat="1" ht="12.75" customHeight="1">
      <c r="A1110" s="124"/>
      <c r="B1110" s="124"/>
      <c r="C1110" s="93"/>
      <c r="D1110" s="93"/>
      <c r="E1110" s="595"/>
      <c r="F1110" s="595"/>
      <c r="G1110" s="124"/>
      <c r="H1110" s="124"/>
      <c r="I1110" s="93"/>
      <c r="J1110" s="93"/>
      <c r="K1110" s="595"/>
      <c r="L1110" s="595"/>
    </row>
    <row r="1111" spans="1:12" s="90" customFormat="1" ht="12.75" customHeight="1" thickBot="1">
      <c r="A1111" s="90" t="s">
        <v>231</v>
      </c>
      <c r="B1111" s="124"/>
      <c r="C1111" s="93"/>
      <c r="D1111" s="93"/>
      <c r="E1111" s="93"/>
      <c r="F1111" s="93"/>
      <c r="G1111" s="124"/>
      <c r="H1111" s="124"/>
      <c r="I1111" s="595"/>
      <c r="J1111" s="595"/>
      <c r="K1111" s="93"/>
      <c r="L1111" s="596" t="s">
        <v>216</v>
      </c>
    </row>
    <row r="1112" spans="1:12" s="90" customFormat="1" ht="24.75" customHeight="1">
      <c r="A1112" s="96"/>
      <c r="B1112" s="97" t="s">
        <v>104</v>
      </c>
      <c r="C1112" s="86" t="s">
        <v>227</v>
      </c>
      <c r="D1112" s="86" t="s">
        <v>844</v>
      </c>
      <c r="E1112" s="86" t="s">
        <v>303</v>
      </c>
      <c r="F1112" s="87" t="s">
        <v>304</v>
      </c>
      <c r="G1112" s="96">
        <v>84</v>
      </c>
      <c r="H1112" s="97" t="s">
        <v>105</v>
      </c>
      <c r="I1112" s="86" t="s">
        <v>227</v>
      </c>
      <c r="J1112" s="86" t="s">
        <v>844</v>
      </c>
      <c r="K1112" s="86" t="s">
        <v>303</v>
      </c>
      <c r="L1112" s="87" t="s">
        <v>304</v>
      </c>
    </row>
    <row r="1113" spans="1:12" s="90" customFormat="1" ht="12.75" customHeight="1">
      <c r="A1113" s="99" t="s">
        <v>23</v>
      </c>
      <c r="B1113" s="100" t="s">
        <v>108</v>
      </c>
      <c r="C1113" s="101"/>
      <c r="D1113" s="101"/>
      <c r="E1113" s="101"/>
      <c r="F1113" s="102"/>
      <c r="G1113" s="99" t="s">
        <v>23</v>
      </c>
      <c r="H1113" s="100" t="s">
        <v>129</v>
      </c>
      <c r="I1113" s="101">
        <f>SUM(I1114:I1118)</f>
        <v>4011555</v>
      </c>
      <c r="J1113" s="101">
        <f>SUM(J1114:J1118)</f>
        <v>4011555</v>
      </c>
      <c r="K1113" s="101">
        <f>SUM(K1114:K1118)</f>
        <v>1612025</v>
      </c>
      <c r="L1113" s="102">
        <f>+K1113/J1113</f>
        <v>0.4018454190457316</v>
      </c>
    </row>
    <row r="1114" spans="1:12" s="90" customFormat="1" ht="12.75" customHeight="1">
      <c r="A1114" s="99" t="s">
        <v>111</v>
      </c>
      <c r="B1114" s="116" t="s">
        <v>209</v>
      </c>
      <c r="C1114" s="106"/>
      <c r="D1114" s="106"/>
      <c r="E1114" s="106"/>
      <c r="F1114" s="599"/>
      <c r="G1114" s="99" t="s">
        <v>111</v>
      </c>
      <c r="H1114" s="116" t="s">
        <v>80</v>
      </c>
      <c r="I1114" s="106">
        <v>2916209</v>
      </c>
      <c r="J1114" s="106">
        <v>2916209</v>
      </c>
      <c r="K1114" s="106">
        <v>1392059</v>
      </c>
      <c r="L1114" s="599">
        <f>+K1114/J1114</f>
        <v>0.47735227481980885</v>
      </c>
    </row>
    <row r="1115" spans="1:12" s="90" customFormat="1" ht="12.75" customHeight="1">
      <c r="A1115" s="99"/>
      <c r="B1115" s="116" t="s">
        <v>210</v>
      </c>
      <c r="C1115" s="106"/>
      <c r="D1115" s="106"/>
      <c r="E1115" s="106"/>
      <c r="F1115" s="599"/>
      <c r="G1115" s="99" t="s">
        <v>112</v>
      </c>
      <c r="H1115" s="116" t="s">
        <v>147</v>
      </c>
      <c r="I1115" s="106">
        <v>972537</v>
      </c>
      <c r="J1115" s="106">
        <v>972537</v>
      </c>
      <c r="K1115" s="106">
        <v>219966</v>
      </c>
      <c r="L1115" s="599">
        <f>+K1115/J1115</f>
        <v>0.22617751304063496</v>
      </c>
    </row>
    <row r="1116" spans="1:12" s="90" customFormat="1" ht="12.75" customHeight="1">
      <c r="A1116" s="99" t="s">
        <v>112</v>
      </c>
      <c r="B1116" s="116" t="s">
        <v>9</v>
      </c>
      <c r="C1116" s="106"/>
      <c r="D1116" s="106"/>
      <c r="E1116" s="106"/>
      <c r="F1116" s="599"/>
      <c r="G1116" s="99" t="s">
        <v>113</v>
      </c>
      <c r="H1116" s="116" t="s">
        <v>83</v>
      </c>
      <c r="I1116" s="106">
        <f>103200+19609</f>
        <v>122809</v>
      </c>
      <c r="J1116" s="106">
        <f>103200+19609</f>
        <v>122809</v>
      </c>
      <c r="K1116" s="106">
        <v>0</v>
      </c>
      <c r="L1116" s="599">
        <f>+K1116/J1116</f>
        <v>0</v>
      </c>
    </row>
    <row r="1117" spans="1:12" s="90" customFormat="1" ht="12.75" customHeight="1">
      <c r="A1117" s="99" t="s">
        <v>113</v>
      </c>
      <c r="B1117" s="116" t="s">
        <v>170</v>
      </c>
      <c r="C1117" s="106"/>
      <c r="D1117" s="106"/>
      <c r="E1117" s="106"/>
      <c r="F1117" s="599"/>
      <c r="G1117" s="99" t="s">
        <v>114</v>
      </c>
      <c r="H1117" s="116" t="s">
        <v>84</v>
      </c>
      <c r="I1117" s="106"/>
      <c r="J1117" s="106"/>
      <c r="K1117" s="106"/>
      <c r="L1117" s="599"/>
    </row>
    <row r="1118" spans="1:12" s="90" customFormat="1" ht="12.75" customHeight="1">
      <c r="A1118" s="99" t="s">
        <v>114</v>
      </c>
      <c r="B1118" s="116" t="s">
        <v>181</v>
      </c>
      <c r="C1118" s="106"/>
      <c r="D1118" s="106"/>
      <c r="E1118" s="106"/>
      <c r="F1118" s="599"/>
      <c r="G1118" s="99" t="s">
        <v>115</v>
      </c>
      <c r="H1118" s="116" t="s">
        <v>211</v>
      </c>
      <c r="I1118" s="106"/>
      <c r="J1118" s="106"/>
      <c r="K1118" s="106"/>
      <c r="L1118" s="599"/>
    </row>
    <row r="1119" spans="1:12" s="90" customFormat="1" ht="12.75" customHeight="1">
      <c r="A1119" s="112" t="s">
        <v>45</v>
      </c>
      <c r="B1119" s="100" t="s">
        <v>118</v>
      </c>
      <c r="C1119" s="101"/>
      <c r="D1119" s="101"/>
      <c r="E1119" s="101"/>
      <c r="F1119" s="102"/>
      <c r="G1119" s="112" t="s">
        <v>45</v>
      </c>
      <c r="H1119" s="100" t="s">
        <v>130</v>
      </c>
      <c r="I1119" s="101"/>
      <c r="J1119" s="101"/>
      <c r="K1119" s="101"/>
      <c r="L1119" s="102"/>
    </row>
    <row r="1120" spans="1:12" s="90" customFormat="1" ht="12.75" customHeight="1">
      <c r="A1120" s="112" t="s">
        <v>111</v>
      </c>
      <c r="B1120" s="100" t="s">
        <v>106</v>
      </c>
      <c r="C1120" s="106"/>
      <c r="D1120" s="106"/>
      <c r="E1120" s="106"/>
      <c r="F1120" s="599"/>
      <c r="G1120" s="112" t="s">
        <v>111</v>
      </c>
      <c r="H1120" s="100" t="s">
        <v>131</v>
      </c>
      <c r="I1120" s="106"/>
      <c r="J1120" s="106"/>
      <c r="K1120" s="106"/>
      <c r="L1120" s="599"/>
    </row>
    <row r="1121" spans="1:12" s="90" customFormat="1" ht="12.75" customHeight="1">
      <c r="A1121" s="112" t="s">
        <v>112</v>
      </c>
      <c r="B1121" s="100" t="s">
        <v>39</v>
      </c>
      <c r="C1121" s="106"/>
      <c r="D1121" s="106"/>
      <c r="E1121" s="106"/>
      <c r="F1121" s="599"/>
      <c r="G1121" s="112" t="s">
        <v>112</v>
      </c>
      <c r="H1121" s="100" t="s">
        <v>87</v>
      </c>
      <c r="I1121" s="106"/>
      <c r="J1121" s="106"/>
      <c r="K1121" s="106"/>
      <c r="L1121" s="599"/>
    </row>
    <row r="1122" spans="1:12" s="90" customFormat="1" ht="12.75" customHeight="1">
      <c r="A1122" s="112" t="s">
        <v>113</v>
      </c>
      <c r="B1122" s="100" t="s">
        <v>201</v>
      </c>
      <c r="C1122" s="106"/>
      <c r="D1122" s="106"/>
      <c r="E1122" s="106"/>
      <c r="F1122" s="599"/>
      <c r="G1122" s="112" t="s">
        <v>113</v>
      </c>
      <c r="H1122" s="100" t="s">
        <v>90</v>
      </c>
      <c r="I1122" s="106"/>
      <c r="J1122" s="106"/>
      <c r="K1122" s="106"/>
      <c r="L1122" s="599"/>
    </row>
    <row r="1123" spans="1:12" s="90" customFormat="1" ht="12.75" customHeight="1">
      <c r="A1123" s="112" t="s">
        <v>56</v>
      </c>
      <c r="B1123" s="100" t="s">
        <v>126</v>
      </c>
      <c r="C1123" s="101">
        <v>4011555</v>
      </c>
      <c r="D1123" s="101">
        <v>4011555</v>
      </c>
      <c r="E1123" s="101">
        <v>4011555</v>
      </c>
      <c r="F1123" s="102">
        <f>+E1123/D1123</f>
        <v>1</v>
      </c>
      <c r="G1123" s="112" t="s">
        <v>56</v>
      </c>
      <c r="H1123" s="100" t="s">
        <v>132</v>
      </c>
      <c r="I1123" s="101"/>
      <c r="J1123" s="101"/>
      <c r="K1123" s="101"/>
      <c r="L1123" s="102"/>
    </row>
    <row r="1124" spans="1:12" s="90" customFormat="1" ht="12.75" customHeight="1">
      <c r="A1124" s="99" t="s">
        <v>64</v>
      </c>
      <c r="B1124" s="116" t="s">
        <v>127</v>
      </c>
      <c r="C1124" s="101"/>
      <c r="D1124" s="101"/>
      <c r="E1124" s="101"/>
      <c r="F1124" s="102"/>
      <c r="G1124" s="99" t="s">
        <v>64</v>
      </c>
      <c r="H1124" s="116" t="s">
        <v>133</v>
      </c>
      <c r="I1124" s="101"/>
      <c r="J1124" s="101"/>
      <c r="K1124" s="101"/>
      <c r="L1124" s="102"/>
    </row>
    <row r="1125" spans="1:12" s="124" customFormat="1" ht="12.75" customHeight="1" thickBot="1">
      <c r="A1125" s="117"/>
      <c r="B1125" s="118" t="s">
        <v>148</v>
      </c>
      <c r="C1125" s="88">
        <f>+C1113+C1119+C1123+C1124</f>
        <v>4011555</v>
      </c>
      <c r="D1125" s="88">
        <f>+D1113+D1119+D1123+D1124</f>
        <v>4011555</v>
      </c>
      <c r="E1125" s="88">
        <f>+E1113+E1119+E1123+E1124</f>
        <v>4011555</v>
      </c>
      <c r="F1125" s="119">
        <f>+E1125/D1125</f>
        <v>1</v>
      </c>
      <c r="G1125" s="117"/>
      <c r="H1125" s="118" t="s">
        <v>149</v>
      </c>
      <c r="I1125" s="88">
        <f>I1113+I1119+I1123+I1124</f>
        <v>4011555</v>
      </c>
      <c r="J1125" s="88">
        <f>J1113+J1119+J1123+J1124</f>
        <v>4011555</v>
      </c>
      <c r="K1125" s="88">
        <f>K1113+K1119+K1123+K1124</f>
        <v>1612025</v>
      </c>
      <c r="L1125" s="119">
        <f>+K1125/J1125</f>
        <v>0.4018454190457316</v>
      </c>
    </row>
    <row r="1126" spans="1:12" s="126" customFormat="1" ht="12.75" customHeight="1">
      <c r="A1126" s="124"/>
      <c r="B1126" s="124"/>
      <c r="C1126" s="93"/>
      <c r="D1126" s="93"/>
      <c r="E1126" s="93"/>
      <c r="F1126" s="93"/>
      <c r="G1126" s="124"/>
      <c r="H1126" s="124"/>
      <c r="I1126" s="93"/>
      <c r="J1126" s="93"/>
      <c r="K1126" s="93"/>
      <c r="L1126" s="93"/>
    </row>
    <row r="1127" spans="1:12" s="90" customFormat="1" ht="12.75" customHeight="1" thickBot="1">
      <c r="A1127" s="90" t="s">
        <v>259</v>
      </c>
      <c r="B1127" s="124"/>
      <c r="E1127" s="93"/>
      <c r="F1127" s="93"/>
      <c r="G1127" s="124"/>
      <c r="H1127" s="124"/>
      <c r="I1127" s="595"/>
      <c r="J1127" s="595"/>
      <c r="K1127" s="93"/>
      <c r="L1127" s="596" t="s">
        <v>216</v>
      </c>
    </row>
    <row r="1128" spans="1:12" s="90" customFormat="1" ht="24.75" customHeight="1">
      <c r="A1128" s="96"/>
      <c r="B1128" s="97" t="s">
        <v>104</v>
      </c>
      <c r="C1128" s="86" t="s">
        <v>227</v>
      </c>
      <c r="D1128" s="86" t="s">
        <v>844</v>
      </c>
      <c r="E1128" s="86" t="s">
        <v>303</v>
      </c>
      <c r="F1128" s="87" t="s">
        <v>304</v>
      </c>
      <c r="G1128" s="96">
        <v>85</v>
      </c>
      <c r="H1128" s="97" t="s">
        <v>105</v>
      </c>
      <c r="I1128" s="86" t="s">
        <v>227</v>
      </c>
      <c r="J1128" s="86" t="s">
        <v>844</v>
      </c>
      <c r="K1128" s="86" t="s">
        <v>303</v>
      </c>
      <c r="L1128" s="87" t="s">
        <v>304</v>
      </c>
    </row>
    <row r="1129" spans="1:12" s="90" customFormat="1" ht="12.75" customHeight="1">
      <c r="A1129" s="99" t="s">
        <v>23</v>
      </c>
      <c r="B1129" s="100" t="s">
        <v>108</v>
      </c>
      <c r="C1129" s="101"/>
      <c r="D1129" s="101"/>
      <c r="E1129" s="101"/>
      <c r="F1129" s="102"/>
      <c r="G1129" s="99" t="s">
        <v>23</v>
      </c>
      <c r="H1129" s="100" t="s">
        <v>129</v>
      </c>
      <c r="I1129" s="101">
        <f>SUM(I1130:I1134)</f>
        <v>170607</v>
      </c>
      <c r="J1129" s="101">
        <f>SUM(J1130:J1134)</f>
        <v>170607</v>
      </c>
      <c r="K1129" s="101">
        <f>SUM(K1130:K1134)</f>
        <v>10607</v>
      </c>
      <c r="L1129" s="102">
        <f>+K1129/J1129</f>
        <v>0.062172126583317215</v>
      </c>
    </row>
    <row r="1130" spans="1:12" s="90" customFormat="1" ht="12.75" customHeight="1">
      <c r="A1130" s="99" t="s">
        <v>111</v>
      </c>
      <c r="B1130" s="116" t="s">
        <v>209</v>
      </c>
      <c r="C1130" s="106"/>
      <c r="D1130" s="106"/>
      <c r="E1130" s="106"/>
      <c r="F1130" s="599"/>
      <c r="G1130" s="99" t="s">
        <v>111</v>
      </c>
      <c r="H1130" s="116" t="s">
        <v>80</v>
      </c>
      <c r="I1130" s="106">
        <v>9027</v>
      </c>
      <c r="J1130" s="106">
        <v>9027</v>
      </c>
      <c r="K1130" s="106">
        <v>9027</v>
      </c>
      <c r="L1130" s="599">
        <f>+K1130/J1130</f>
        <v>1</v>
      </c>
    </row>
    <row r="1131" spans="1:12" s="90" customFormat="1" ht="12.75" customHeight="1">
      <c r="A1131" s="99"/>
      <c r="B1131" s="116" t="s">
        <v>210</v>
      </c>
      <c r="C1131" s="106"/>
      <c r="D1131" s="106"/>
      <c r="E1131" s="106"/>
      <c r="F1131" s="599"/>
      <c r="G1131" s="99" t="s">
        <v>112</v>
      </c>
      <c r="H1131" s="116" t="s">
        <v>147</v>
      </c>
      <c r="I1131" s="106">
        <v>1580</v>
      </c>
      <c r="J1131" s="106">
        <v>1580</v>
      </c>
      <c r="K1131" s="106">
        <v>1580</v>
      </c>
      <c r="L1131" s="599">
        <f>+K1131/J1131</f>
        <v>1</v>
      </c>
    </row>
    <row r="1132" spans="1:12" s="90" customFormat="1" ht="12.75" customHeight="1">
      <c r="A1132" s="99" t="s">
        <v>112</v>
      </c>
      <c r="B1132" s="116" t="s">
        <v>9</v>
      </c>
      <c r="C1132" s="106"/>
      <c r="D1132" s="106"/>
      <c r="E1132" s="106"/>
      <c r="F1132" s="599"/>
      <c r="G1132" s="99" t="s">
        <v>113</v>
      </c>
      <c r="H1132" s="116" t="s">
        <v>83</v>
      </c>
      <c r="I1132" s="106">
        <v>160000</v>
      </c>
      <c r="J1132" s="106">
        <v>160000</v>
      </c>
      <c r="K1132" s="106">
        <v>0</v>
      </c>
      <c r="L1132" s="599">
        <f>+K1132/J1132</f>
        <v>0</v>
      </c>
    </row>
    <row r="1133" spans="1:12" s="90" customFormat="1" ht="12.75" customHeight="1">
      <c r="A1133" s="99" t="s">
        <v>113</v>
      </c>
      <c r="B1133" s="116" t="s">
        <v>170</v>
      </c>
      <c r="C1133" s="106"/>
      <c r="D1133" s="106"/>
      <c r="E1133" s="106"/>
      <c r="F1133" s="599"/>
      <c r="G1133" s="99" t="s">
        <v>114</v>
      </c>
      <c r="H1133" s="116" t="s">
        <v>84</v>
      </c>
      <c r="I1133" s="106"/>
      <c r="J1133" s="106"/>
      <c r="K1133" s="106"/>
      <c r="L1133" s="599"/>
    </row>
    <row r="1134" spans="1:12" s="90" customFormat="1" ht="12.75" customHeight="1">
      <c r="A1134" s="99" t="s">
        <v>114</v>
      </c>
      <c r="B1134" s="116" t="s">
        <v>181</v>
      </c>
      <c r="C1134" s="106"/>
      <c r="D1134" s="106"/>
      <c r="E1134" s="106"/>
      <c r="F1134" s="599"/>
      <c r="G1134" s="99" t="s">
        <v>115</v>
      </c>
      <c r="H1134" s="116" t="s">
        <v>211</v>
      </c>
      <c r="I1134" s="106"/>
      <c r="J1134" s="106"/>
      <c r="K1134" s="106"/>
      <c r="L1134" s="599"/>
    </row>
    <row r="1135" spans="1:12" s="90" customFormat="1" ht="12.75" customHeight="1">
      <c r="A1135" s="112" t="s">
        <v>45</v>
      </c>
      <c r="B1135" s="100" t="s">
        <v>118</v>
      </c>
      <c r="C1135" s="101"/>
      <c r="D1135" s="101"/>
      <c r="E1135" s="101"/>
      <c r="F1135" s="102"/>
      <c r="G1135" s="112" t="s">
        <v>45</v>
      </c>
      <c r="H1135" s="100" t="s">
        <v>130</v>
      </c>
      <c r="I1135" s="101"/>
      <c r="J1135" s="101"/>
      <c r="K1135" s="101"/>
      <c r="L1135" s="102"/>
    </row>
    <row r="1136" spans="1:12" s="90" customFormat="1" ht="12.75" customHeight="1">
      <c r="A1136" s="112" t="s">
        <v>111</v>
      </c>
      <c r="B1136" s="100" t="s">
        <v>106</v>
      </c>
      <c r="C1136" s="106"/>
      <c r="D1136" s="106"/>
      <c r="E1136" s="106"/>
      <c r="F1136" s="599"/>
      <c r="G1136" s="112" t="s">
        <v>111</v>
      </c>
      <c r="H1136" s="100" t="s">
        <v>131</v>
      </c>
      <c r="I1136" s="106"/>
      <c r="J1136" s="106"/>
      <c r="K1136" s="106"/>
      <c r="L1136" s="599"/>
    </row>
    <row r="1137" spans="1:12" s="90" customFormat="1" ht="12.75" customHeight="1">
      <c r="A1137" s="112" t="s">
        <v>112</v>
      </c>
      <c r="B1137" s="100" t="s">
        <v>39</v>
      </c>
      <c r="C1137" s="106"/>
      <c r="D1137" s="106"/>
      <c r="E1137" s="106"/>
      <c r="F1137" s="599"/>
      <c r="G1137" s="112" t="s">
        <v>112</v>
      </c>
      <c r="H1137" s="100" t="s">
        <v>87</v>
      </c>
      <c r="I1137" s="106"/>
      <c r="J1137" s="106"/>
      <c r="K1137" s="106"/>
      <c r="L1137" s="599"/>
    </row>
    <row r="1138" spans="1:12" s="90" customFormat="1" ht="12.75" customHeight="1">
      <c r="A1138" s="112" t="s">
        <v>113</v>
      </c>
      <c r="B1138" s="100" t="s">
        <v>201</v>
      </c>
      <c r="C1138" s="106"/>
      <c r="D1138" s="106"/>
      <c r="E1138" s="106"/>
      <c r="F1138" s="599"/>
      <c r="G1138" s="112" t="s">
        <v>113</v>
      </c>
      <c r="H1138" s="100" t="s">
        <v>90</v>
      </c>
      <c r="I1138" s="106"/>
      <c r="J1138" s="106"/>
      <c r="K1138" s="106"/>
      <c r="L1138" s="599"/>
    </row>
    <row r="1139" spans="1:12" s="90" customFormat="1" ht="12.75" customHeight="1">
      <c r="A1139" s="112" t="s">
        <v>56</v>
      </c>
      <c r="B1139" s="100" t="s">
        <v>126</v>
      </c>
      <c r="C1139" s="101">
        <v>170607</v>
      </c>
      <c r="D1139" s="101">
        <v>170607</v>
      </c>
      <c r="E1139" s="101">
        <v>170607</v>
      </c>
      <c r="F1139" s="102">
        <f>+E1139/D1139</f>
        <v>1</v>
      </c>
      <c r="G1139" s="112" t="s">
        <v>56</v>
      </c>
      <c r="H1139" s="100" t="s">
        <v>132</v>
      </c>
      <c r="I1139" s="101"/>
      <c r="J1139" s="101"/>
      <c r="K1139" s="101"/>
      <c r="L1139" s="102"/>
    </row>
    <row r="1140" spans="1:12" s="90" customFormat="1" ht="12.75" customHeight="1">
      <c r="A1140" s="99" t="s">
        <v>64</v>
      </c>
      <c r="B1140" s="116" t="s">
        <v>127</v>
      </c>
      <c r="C1140" s="101"/>
      <c r="D1140" s="101"/>
      <c r="E1140" s="101"/>
      <c r="F1140" s="102"/>
      <c r="G1140" s="99" t="s">
        <v>64</v>
      </c>
      <c r="H1140" s="116" t="s">
        <v>133</v>
      </c>
      <c r="I1140" s="101"/>
      <c r="J1140" s="101"/>
      <c r="K1140" s="101"/>
      <c r="L1140" s="102"/>
    </row>
    <row r="1141" spans="1:12" s="124" customFormat="1" ht="12.75" customHeight="1" thickBot="1">
      <c r="A1141" s="117"/>
      <c r="B1141" s="118" t="s">
        <v>148</v>
      </c>
      <c r="C1141" s="88">
        <f>+C1129+C1135+C1139+C1140</f>
        <v>170607</v>
      </c>
      <c r="D1141" s="88">
        <f>+D1129+D1135+D1139+D1140</f>
        <v>170607</v>
      </c>
      <c r="E1141" s="88">
        <f>+E1129+E1135+E1139+E1140</f>
        <v>170607</v>
      </c>
      <c r="F1141" s="119">
        <f>+E1141/D1141</f>
        <v>1</v>
      </c>
      <c r="G1141" s="117"/>
      <c r="H1141" s="118" t="s">
        <v>149</v>
      </c>
      <c r="I1141" s="88">
        <f>I1129+I1135+I1139+I1140</f>
        <v>170607</v>
      </c>
      <c r="J1141" s="88">
        <f>J1129+J1135+J1139+J1140</f>
        <v>170607</v>
      </c>
      <c r="K1141" s="88">
        <f>K1129+K1135+K1139+K1140</f>
        <v>10607</v>
      </c>
      <c r="L1141" s="119">
        <f>+K1141/J1141</f>
        <v>0.062172126583317215</v>
      </c>
    </row>
    <row r="1142" spans="1:12" s="126" customFormat="1" ht="26.25" customHeight="1">
      <c r="A1142" s="90"/>
      <c r="B1142" s="124"/>
      <c r="C1142" s="93"/>
      <c r="D1142" s="93"/>
      <c r="E1142" s="93"/>
      <c r="F1142" s="93"/>
      <c r="G1142" s="124"/>
      <c r="H1142" s="124"/>
      <c r="I1142" s="90"/>
      <c r="J1142" s="90"/>
      <c r="K1142" s="93"/>
      <c r="L1142" s="93"/>
    </row>
    <row r="1143" spans="1:12" s="90" customFormat="1" ht="12.75" customHeight="1" thickBot="1">
      <c r="A1143" s="90" t="s">
        <v>267</v>
      </c>
      <c r="B1143" s="124"/>
      <c r="C1143" s="93"/>
      <c r="D1143" s="93"/>
      <c r="E1143" s="93"/>
      <c r="F1143" s="93"/>
      <c r="G1143" s="124"/>
      <c r="H1143" s="124"/>
      <c r="I1143" s="595"/>
      <c r="J1143" s="595"/>
      <c r="K1143" s="93"/>
      <c r="L1143" s="596" t="s">
        <v>216</v>
      </c>
    </row>
    <row r="1144" spans="1:12" s="90" customFormat="1" ht="24.75" customHeight="1">
      <c r="A1144" s="96"/>
      <c r="B1144" s="97" t="s">
        <v>104</v>
      </c>
      <c r="C1144" s="86" t="s">
        <v>227</v>
      </c>
      <c r="D1144" s="86" t="s">
        <v>844</v>
      </c>
      <c r="E1144" s="86" t="s">
        <v>303</v>
      </c>
      <c r="F1144" s="87" t="s">
        <v>304</v>
      </c>
      <c r="G1144" s="96">
        <v>86</v>
      </c>
      <c r="H1144" s="97" t="s">
        <v>105</v>
      </c>
      <c r="I1144" s="86" t="s">
        <v>227</v>
      </c>
      <c r="J1144" s="86" t="s">
        <v>844</v>
      </c>
      <c r="K1144" s="86" t="s">
        <v>303</v>
      </c>
      <c r="L1144" s="87" t="s">
        <v>304</v>
      </c>
    </row>
    <row r="1145" spans="1:12" s="90" customFormat="1" ht="12.75" customHeight="1">
      <c r="A1145" s="99" t="s">
        <v>23</v>
      </c>
      <c r="B1145" s="100" t="s">
        <v>108</v>
      </c>
      <c r="C1145" s="101"/>
      <c r="D1145" s="101"/>
      <c r="E1145" s="101"/>
      <c r="F1145" s="102"/>
      <c r="G1145" s="99" t="s">
        <v>23</v>
      </c>
      <c r="H1145" s="100" t="s">
        <v>129</v>
      </c>
      <c r="I1145" s="101">
        <f>SUM(I1146:I1150)</f>
        <v>173</v>
      </c>
      <c r="J1145" s="101">
        <f>SUM(J1146:J1150)</f>
        <v>173</v>
      </c>
      <c r="K1145" s="101">
        <f>SUM(K1146:K1150)</f>
        <v>0</v>
      </c>
      <c r="L1145" s="102">
        <f>+K1145/J1145+IF(L1145=0/0,0%)</f>
        <v>0</v>
      </c>
    </row>
    <row r="1146" spans="1:12" s="90" customFormat="1" ht="12.75" customHeight="1">
      <c r="A1146" s="99" t="s">
        <v>111</v>
      </c>
      <c r="B1146" s="116" t="s">
        <v>209</v>
      </c>
      <c r="C1146" s="106"/>
      <c r="D1146" s="106"/>
      <c r="E1146" s="106"/>
      <c r="F1146" s="599"/>
      <c r="G1146" s="99" t="s">
        <v>111</v>
      </c>
      <c r="H1146" s="116" t="s">
        <v>80</v>
      </c>
      <c r="I1146" s="106"/>
      <c r="J1146" s="106"/>
      <c r="K1146" s="106"/>
      <c r="L1146" s="599"/>
    </row>
    <row r="1147" spans="1:12" s="90" customFormat="1" ht="12.75" customHeight="1">
      <c r="A1147" s="99"/>
      <c r="B1147" s="116" t="s">
        <v>210</v>
      </c>
      <c r="C1147" s="106"/>
      <c r="D1147" s="106"/>
      <c r="E1147" s="106"/>
      <c r="F1147" s="599"/>
      <c r="G1147" s="99" t="s">
        <v>112</v>
      </c>
      <c r="H1147" s="116" t="s">
        <v>147</v>
      </c>
      <c r="I1147" s="106"/>
      <c r="J1147" s="106"/>
      <c r="K1147" s="106"/>
      <c r="L1147" s="599"/>
    </row>
    <row r="1148" spans="1:12" s="90" customFormat="1" ht="12.75" customHeight="1">
      <c r="A1148" s="99" t="s">
        <v>112</v>
      </c>
      <c r="B1148" s="116" t="s">
        <v>9</v>
      </c>
      <c r="C1148" s="106"/>
      <c r="D1148" s="106"/>
      <c r="E1148" s="106"/>
      <c r="F1148" s="599"/>
      <c r="G1148" s="99" t="s">
        <v>113</v>
      </c>
      <c r="H1148" s="116" t="s">
        <v>83</v>
      </c>
      <c r="I1148" s="106"/>
      <c r="J1148" s="106"/>
      <c r="K1148" s="106"/>
      <c r="L1148" s="599"/>
    </row>
    <row r="1149" spans="1:12" s="90" customFormat="1" ht="12.75" customHeight="1">
      <c r="A1149" s="99" t="s">
        <v>113</v>
      </c>
      <c r="B1149" s="116" t="s">
        <v>170</v>
      </c>
      <c r="C1149" s="106"/>
      <c r="D1149" s="106"/>
      <c r="E1149" s="106"/>
      <c r="F1149" s="599"/>
      <c r="G1149" s="99" t="s">
        <v>114</v>
      </c>
      <c r="H1149" s="116" t="s">
        <v>84</v>
      </c>
      <c r="I1149" s="106"/>
      <c r="J1149" s="106"/>
      <c r="K1149" s="106"/>
      <c r="L1149" s="599"/>
    </row>
    <row r="1150" spans="1:12" s="90" customFormat="1" ht="12.75" customHeight="1">
      <c r="A1150" s="99" t="s">
        <v>114</v>
      </c>
      <c r="B1150" s="116" t="s">
        <v>181</v>
      </c>
      <c r="C1150" s="106"/>
      <c r="D1150" s="106"/>
      <c r="E1150" s="106"/>
      <c r="F1150" s="599"/>
      <c r="G1150" s="99" t="s">
        <v>115</v>
      </c>
      <c r="H1150" s="116" t="s">
        <v>211</v>
      </c>
      <c r="I1150" s="106">
        <v>173</v>
      </c>
      <c r="J1150" s="106">
        <v>173</v>
      </c>
      <c r="K1150" s="106">
        <v>0</v>
      </c>
      <c r="L1150" s="599">
        <f>+K1150/J1150+IF(L1150=0/0,0%)</f>
        <v>0</v>
      </c>
    </row>
    <row r="1151" spans="1:12" s="90" customFormat="1" ht="12.75" customHeight="1">
      <c r="A1151" s="112" t="s">
        <v>45</v>
      </c>
      <c r="B1151" s="100" t="s">
        <v>118</v>
      </c>
      <c r="C1151" s="101"/>
      <c r="D1151" s="101"/>
      <c r="E1151" s="101"/>
      <c r="F1151" s="102"/>
      <c r="G1151" s="112" t="s">
        <v>45</v>
      </c>
      <c r="H1151" s="100" t="s">
        <v>130</v>
      </c>
      <c r="I1151" s="101"/>
      <c r="J1151" s="101"/>
      <c r="K1151" s="101"/>
      <c r="L1151" s="102"/>
    </row>
    <row r="1152" spans="1:12" s="90" customFormat="1" ht="12.75" customHeight="1">
      <c r="A1152" s="112" t="s">
        <v>111</v>
      </c>
      <c r="B1152" s="100" t="s">
        <v>106</v>
      </c>
      <c r="C1152" s="106"/>
      <c r="D1152" s="106"/>
      <c r="E1152" s="106"/>
      <c r="F1152" s="599"/>
      <c r="G1152" s="112" t="s">
        <v>111</v>
      </c>
      <c r="H1152" s="100" t="s">
        <v>131</v>
      </c>
      <c r="I1152" s="106"/>
      <c r="J1152" s="106"/>
      <c r="K1152" s="106"/>
      <c r="L1152" s="599"/>
    </row>
    <row r="1153" spans="1:12" s="90" customFormat="1" ht="12.75" customHeight="1">
      <c r="A1153" s="112" t="s">
        <v>112</v>
      </c>
      <c r="B1153" s="100" t="s">
        <v>39</v>
      </c>
      <c r="C1153" s="106"/>
      <c r="D1153" s="106"/>
      <c r="E1153" s="106"/>
      <c r="F1153" s="599"/>
      <c r="G1153" s="112" t="s">
        <v>112</v>
      </c>
      <c r="H1153" s="100" t="s">
        <v>87</v>
      </c>
      <c r="I1153" s="106"/>
      <c r="J1153" s="106"/>
      <c r="K1153" s="106"/>
      <c r="L1153" s="599"/>
    </row>
    <row r="1154" spans="1:12" s="90" customFormat="1" ht="12.75" customHeight="1">
      <c r="A1154" s="112" t="s">
        <v>113</v>
      </c>
      <c r="B1154" s="100" t="s">
        <v>201</v>
      </c>
      <c r="C1154" s="106"/>
      <c r="D1154" s="106"/>
      <c r="E1154" s="106"/>
      <c r="F1154" s="599"/>
      <c r="G1154" s="112" t="s">
        <v>113</v>
      </c>
      <c r="H1154" s="100" t="s">
        <v>90</v>
      </c>
      <c r="I1154" s="106"/>
      <c r="J1154" s="106"/>
      <c r="K1154" s="106"/>
      <c r="L1154" s="599"/>
    </row>
    <row r="1155" spans="1:12" s="90" customFormat="1" ht="12.75" customHeight="1">
      <c r="A1155" s="112" t="s">
        <v>56</v>
      </c>
      <c r="B1155" s="100" t="s">
        <v>126</v>
      </c>
      <c r="C1155" s="101">
        <v>173</v>
      </c>
      <c r="D1155" s="101">
        <v>173</v>
      </c>
      <c r="E1155" s="101">
        <v>173</v>
      </c>
      <c r="F1155" s="102">
        <f>+E1155/D1155</f>
        <v>1</v>
      </c>
      <c r="G1155" s="112" t="s">
        <v>56</v>
      </c>
      <c r="H1155" s="100" t="s">
        <v>132</v>
      </c>
      <c r="I1155" s="101"/>
      <c r="J1155" s="101"/>
      <c r="K1155" s="101"/>
      <c r="L1155" s="102"/>
    </row>
    <row r="1156" spans="1:12" s="90" customFormat="1" ht="12.75" customHeight="1">
      <c r="A1156" s="99" t="s">
        <v>64</v>
      </c>
      <c r="B1156" s="116" t="s">
        <v>127</v>
      </c>
      <c r="C1156" s="101"/>
      <c r="D1156" s="101"/>
      <c r="E1156" s="101"/>
      <c r="F1156" s="102"/>
      <c r="G1156" s="99" t="s">
        <v>64</v>
      </c>
      <c r="H1156" s="116" t="s">
        <v>133</v>
      </c>
      <c r="I1156" s="101"/>
      <c r="J1156" s="101"/>
      <c r="K1156" s="101"/>
      <c r="L1156" s="102"/>
    </row>
    <row r="1157" spans="1:12" s="124" customFormat="1" ht="12.75" customHeight="1" thickBot="1">
      <c r="A1157" s="117"/>
      <c r="B1157" s="118" t="s">
        <v>148</v>
      </c>
      <c r="C1157" s="88">
        <f>+C1145+C1151+C1155+C1156</f>
        <v>173</v>
      </c>
      <c r="D1157" s="88">
        <f>+D1145+D1151+D1155+D1156</f>
        <v>173</v>
      </c>
      <c r="E1157" s="88">
        <f>+E1145+E1151+E1155+E1156</f>
        <v>173</v>
      </c>
      <c r="F1157" s="119">
        <f>+E1157/D1157</f>
        <v>1</v>
      </c>
      <c r="G1157" s="117"/>
      <c r="H1157" s="118" t="s">
        <v>149</v>
      </c>
      <c r="I1157" s="88">
        <f>I1145+I1151+I1155+I1156</f>
        <v>173</v>
      </c>
      <c r="J1157" s="88">
        <f>J1145+J1151+J1155+J1156</f>
        <v>173</v>
      </c>
      <c r="K1157" s="88">
        <f>K1145+K1151+K1155+K1156</f>
        <v>0</v>
      </c>
      <c r="L1157" s="119">
        <f>+K1157/J1157+IF(L1157=0/0,0%)</f>
        <v>0</v>
      </c>
    </row>
    <row r="1158" spans="1:12" s="126" customFormat="1" ht="12.75" customHeight="1">
      <c r="A1158" s="124"/>
      <c r="B1158" s="124"/>
      <c r="C1158" s="93"/>
      <c r="D1158" s="93"/>
      <c r="E1158" s="93"/>
      <c r="F1158" s="93"/>
      <c r="G1158" s="124"/>
      <c r="H1158" s="124"/>
      <c r="I1158" s="93"/>
      <c r="J1158" s="93"/>
      <c r="K1158" s="93"/>
      <c r="L1158" s="93"/>
    </row>
    <row r="1159" spans="1:12" s="90" customFormat="1" ht="12.75" customHeight="1" thickBot="1">
      <c r="A1159" s="90" t="s">
        <v>265</v>
      </c>
      <c r="B1159" s="124"/>
      <c r="C1159" s="93"/>
      <c r="D1159" s="93"/>
      <c r="E1159" s="93"/>
      <c r="F1159" s="93"/>
      <c r="G1159" s="124"/>
      <c r="H1159" s="124"/>
      <c r="I1159" s="595"/>
      <c r="J1159" s="595"/>
      <c r="K1159" s="93"/>
      <c r="L1159" s="596" t="s">
        <v>216</v>
      </c>
    </row>
    <row r="1160" spans="1:12" s="90" customFormat="1" ht="24.75" customHeight="1">
      <c r="A1160" s="96"/>
      <c r="B1160" s="97" t="s">
        <v>104</v>
      </c>
      <c r="C1160" s="86" t="s">
        <v>227</v>
      </c>
      <c r="D1160" s="86" t="s">
        <v>844</v>
      </c>
      <c r="E1160" s="86" t="s">
        <v>303</v>
      </c>
      <c r="F1160" s="87" t="s">
        <v>304</v>
      </c>
      <c r="G1160" s="96">
        <v>87</v>
      </c>
      <c r="H1160" s="97" t="s">
        <v>105</v>
      </c>
      <c r="I1160" s="86" t="s">
        <v>227</v>
      </c>
      <c r="J1160" s="86" t="s">
        <v>844</v>
      </c>
      <c r="K1160" s="86" t="s">
        <v>303</v>
      </c>
      <c r="L1160" s="87" t="s">
        <v>304</v>
      </c>
    </row>
    <row r="1161" spans="1:12" s="90" customFormat="1" ht="12.75" customHeight="1">
      <c r="A1161" s="99" t="s">
        <v>23</v>
      </c>
      <c r="B1161" s="100" t="s">
        <v>108</v>
      </c>
      <c r="C1161" s="101"/>
      <c r="D1161" s="101"/>
      <c r="E1161" s="101"/>
      <c r="F1161" s="102"/>
      <c r="G1161" s="99" t="s">
        <v>23</v>
      </c>
      <c r="H1161" s="100" t="s">
        <v>129</v>
      </c>
      <c r="I1161" s="101">
        <f>SUM(I1162:I1166)</f>
        <v>1764277</v>
      </c>
      <c r="J1161" s="101">
        <f>SUM(J1162:J1166)</f>
        <v>1764277</v>
      </c>
      <c r="K1161" s="101">
        <f>SUM(K1162:K1166)</f>
        <v>0</v>
      </c>
      <c r="L1161" s="102">
        <f>+K1161/J1161</f>
        <v>0</v>
      </c>
    </row>
    <row r="1162" spans="1:12" s="90" customFormat="1" ht="12.75" customHeight="1">
      <c r="A1162" s="99" t="s">
        <v>111</v>
      </c>
      <c r="B1162" s="116" t="s">
        <v>209</v>
      </c>
      <c r="C1162" s="106"/>
      <c r="D1162" s="106"/>
      <c r="E1162" s="106"/>
      <c r="F1162" s="599"/>
      <c r="G1162" s="99" t="s">
        <v>111</v>
      </c>
      <c r="H1162" s="116" t="s">
        <v>80</v>
      </c>
      <c r="I1162" s="106">
        <v>1138083</v>
      </c>
      <c r="J1162" s="106">
        <v>1138083</v>
      </c>
      <c r="K1162" s="106">
        <v>0</v>
      </c>
      <c r="L1162" s="599">
        <f>+K1162/J1162</f>
        <v>0</v>
      </c>
    </row>
    <row r="1163" spans="1:12" s="90" customFormat="1" ht="12.75" customHeight="1">
      <c r="A1163" s="99"/>
      <c r="B1163" s="116" t="s">
        <v>210</v>
      </c>
      <c r="C1163" s="106"/>
      <c r="D1163" s="106"/>
      <c r="E1163" s="106"/>
      <c r="F1163" s="599"/>
      <c r="G1163" s="99" t="s">
        <v>112</v>
      </c>
      <c r="H1163" s="116" t="s">
        <v>147</v>
      </c>
      <c r="I1163" s="106">
        <v>626194</v>
      </c>
      <c r="J1163" s="106">
        <v>626194</v>
      </c>
      <c r="K1163" s="106">
        <v>0</v>
      </c>
      <c r="L1163" s="599">
        <f>+K1163/J1163</f>
        <v>0</v>
      </c>
    </row>
    <row r="1164" spans="1:12" s="90" customFormat="1" ht="12.75" customHeight="1">
      <c r="A1164" s="99" t="s">
        <v>112</v>
      </c>
      <c r="B1164" s="116" t="s">
        <v>9</v>
      </c>
      <c r="C1164" s="106"/>
      <c r="D1164" s="106"/>
      <c r="E1164" s="106"/>
      <c r="F1164" s="599"/>
      <c r="G1164" s="99" t="s">
        <v>113</v>
      </c>
      <c r="H1164" s="116" t="s">
        <v>83</v>
      </c>
      <c r="I1164" s="106"/>
      <c r="J1164" s="106"/>
      <c r="K1164" s="106"/>
      <c r="L1164" s="599"/>
    </row>
    <row r="1165" spans="1:12" s="90" customFormat="1" ht="12.75" customHeight="1">
      <c r="A1165" s="99" t="s">
        <v>113</v>
      </c>
      <c r="B1165" s="116" t="s">
        <v>170</v>
      </c>
      <c r="C1165" s="106"/>
      <c r="D1165" s="106"/>
      <c r="E1165" s="106"/>
      <c r="F1165" s="599"/>
      <c r="G1165" s="99" t="s">
        <v>114</v>
      </c>
      <c r="H1165" s="116" t="s">
        <v>84</v>
      </c>
      <c r="I1165" s="106"/>
      <c r="J1165" s="106"/>
      <c r="K1165" s="106"/>
      <c r="L1165" s="599"/>
    </row>
    <row r="1166" spans="1:12" s="90" customFormat="1" ht="12.75" customHeight="1">
      <c r="A1166" s="99" t="s">
        <v>114</v>
      </c>
      <c r="B1166" s="116" t="s">
        <v>181</v>
      </c>
      <c r="C1166" s="106"/>
      <c r="D1166" s="106"/>
      <c r="E1166" s="106"/>
      <c r="F1166" s="599"/>
      <c r="G1166" s="99" t="s">
        <v>115</v>
      </c>
      <c r="H1166" s="116" t="s">
        <v>211</v>
      </c>
      <c r="I1166" s="106"/>
      <c r="J1166" s="106"/>
      <c r="K1166" s="106"/>
      <c r="L1166" s="599"/>
    </row>
    <row r="1167" spans="1:12" s="90" customFormat="1" ht="12.75" customHeight="1">
      <c r="A1167" s="112" t="s">
        <v>45</v>
      </c>
      <c r="B1167" s="100" t="s">
        <v>118</v>
      </c>
      <c r="C1167" s="101"/>
      <c r="D1167" s="101"/>
      <c r="E1167" s="101"/>
      <c r="F1167" s="102"/>
      <c r="G1167" s="112" t="s">
        <v>45</v>
      </c>
      <c r="H1167" s="100" t="s">
        <v>130</v>
      </c>
      <c r="I1167" s="101"/>
      <c r="J1167" s="101"/>
      <c r="K1167" s="101"/>
      <c r="L1167" s="102"/>
    </row>
    <row r="1168" spans="1:12" s="90" customFormat="1" ht="12.75" customHeight="1">
      <c r="A1168" s="112" t="s">
        <v>111</v>
      </c>
      <c r="B1168" s="100" t="s">
        <v>106</v>
      </c>
      <c r="C1168" s="106"/>
      <c r="D1168" s="106"/>
      <c r="E1168" s="106"/>
      <c r="F1168" s="599"/>
      <c r="G1168" s="112" t="s">
        <v>111</v>
      </c>
      <c r="H1168" s="100" t="s">
        <v>131</v>
      </c>
      <c r="I1168" s="106"/>
      <c r="J1168" s="106"/>
      <c r="K1168" s="106"/>
      <c r="L1168" s="599"/>
    </row>
    <row r="1169" spans="1:12" s="90" customFormat="1" ht="12.75" customHeight="1">
      <c r="A1169" s="112" t="s">
        <v>112</v>
      </c>
      <c r="B1169" s="100" t="s">
        <v>39</v>
      </c>
      <c r="C1169" s="106"/>
      <c r="D1169" s="106"/>
      <c r="E1169" s="106"/>
      <c r="F1169" s="599"/>
      <c r="G1169" s="112" t="s">
        <v>112</v>
      </c>
      <c r="H1169" s="100" t="s">
        <v>87</v>
      </c>
      <c r="I1169" s="106"/>
      <c r="J1169" s="106"/>
      <c r="K1169" s="106"/>
      <c r="L1169" s="599"/>
    </row>
    <row r="1170" spans="1:12" s="90" customFormat="1" ht="12.75" customHeight="1">
      <c r="A1170" s="112" t="s">
        <v>113</v>
      </c>
      <c r="B1170" s="100" t="s">
        <v>201</v>
      </c>
      <c r="C1170" s="106"/>
      <c r="D1170" s="106"/>
      <c r="E1170" s="106"/>
      <c r="F1170" s="599"/>
      <c r="G1170" s="112" t="s">
        <v>113</v>
      </c>
      <c r="H1170" s="100" t="s">
        <v>90</v>
      </c>
      <c r="I1170" s="106"/>
      <c r="J1170" s="106"/>
      <c r="K1170" s="106"/>
      <c r="L1170" s="599"/>
    </row>
    <row r="1171" spans="1:12" s="90" customFormat="1" ht="12.75" customHeight="1">
      <c r="A1171" s="112" t="s">
        <v>56</v>
      </c>
      <c r="B1171" s="100" t="s">
        <v>126</v>
      </c>
      <c r="C1171" s="101">
        <v>1764277</v>
      </c>
      <c r="D1171" s="101">
        <v>1764277</v>
      </c>
      <c r="E1171" s="101">
        <v>1764277</v>
      </c>
      <c r="F1171" s="102">
        <f>+E1171/D1171</f>
        <v>1</v>
      </c>
      <c r="G1171" s="112" t="s">
        <v>56</v>
      </c>
      <c r="H1171" s="100" t="s">
        <v>132</v>
      </c>
      <c r="I1171" s="101"/>
      <c r="J1171" s="101"/>
      <c r="K1171" s="101"/>
      <c r="L1171" s="102"/>
    </row>
    <row r="1172" spans="1:12" s="90" customFormat="1" ht="12.75" customHeight="1">
      <c r="A1172" s="99" t="s">
        <v>64</v>
      </c>
      <c r="B1172" s="116" t="s">
        <v>127</v>
      </c>
      <c r="C1172" s="101"/>
      <c r="D1172" s="101"/>
      <c r="E1172" s="101"/>
      <c r="F1172" s="102"/>
      <c r="G1172" s="99" t="s">
        <v>64</v>
      </c>
      <c r="H1172" s="116" t="s">
        <v>133</v>
      </c>
      <c r="I1172" s="101"/>
      <c r="J1172" s="101"/>
      <c r="K1172" s="101"/>
      <c r="L1172" s="102"/>
    </row>
    <row r="1173" spans="1:12" s="124" customFormat="1" ht="12.75" customHeight="1" thickBot="1">
      <c r="A1173" s="117"/>
      <c r="B1173" s="118" t="s">
        <v>148</v>
      </c>
      <c r="C1173" s="88">
        <f>+C1161+C1167+C1171+C1172</f>
        <v>1764277</v>
      </c>
      <c r="D1173" s="88">
        <f>+D1161+D1167+D1171+D1172</f>
        <v>1764277</v>
      </c>
      <c r="E1173" s="88">
        <f>+E1161+E1167+E1171+E1172</f>
        <v>1764277</v>
      </c>
      <c r="F1173" s="119">
        <f>+E1173/D1173</f>
        <v>1</v>
      </c>
      <c r="G1173" s="117"/>
      <c r="H1173" s="118" t="s">
        <v>149</v>
      </c>
      <c r="I1173" s="88">
        <f>I1161+I1167+I1171+I1172</f>
        <v>1764277</v>
      </c>
      <c r="J1173" s="88">
        <f>J1161+J1167+J1171+J1172</f>
        <v>1764277</v>
      </c>
      <c r="K1173" s="88">
        <f>K1161+K1167+K1171+K1172</f>
        <v>0</v>
      </c>
      <c r="L1173" s="119">
        <f>+K1173/J1173</f>
        <v>0</v>
      </c>
    </row>
    <row r="1174" spans="1:12" s="126" customFormat="1" ht="12.75" customHeight="1">
      <c r="A1174" s="124"/>
      <c r="B1174" s="124"/>
      <c r="C1174" s="93"/>
      <c r="D1174" s="93"/>
      <c r="E1174" s="639"/>
      <c r="F1174" s="639"/>
      <c r="G1174" s="124"/>
      <c r="H1174" s="124"/>
      <c r="I1174" s="93"/>
      <c r="J1174" s="93"/>
      <c r="K1174" s="639"/>
      <c r="L1174" s="639"/>
    </row>
    <row r="1175" spans="1:12" s="90" customFormat="1" ht="12.75" customHeight="1" thickBot="1">
      <c r="A1175" s="90" t="s">
        <v>269</v>
      </c>
      <c r="B1175" s="124"/>
      <c r="E1175" s="93"/>
      <c r="F1175" s="93"/>
      <c r="G1175" s="124"/>
      <c r="H1175" s="124"/>
      <c r="I1175" s="595"/>
      <c r="J1175" s="595"/>
      <c r="K1175" s="93"/>
      <c r="L1175" s="596" t="s">
        <v>216</v>
      </c>
    </row>
    <row r="1176" spans="1:12" s="90" customFormat="1" ht="24.75" customHeight="1">
      <c r="A1176" s="96"/>
      <c r="B1176" s="97" t="s">
        <v>104</v>
      </c>
      <c r="C1176" s="86" t="s">
        <v>227</v>
      </c>
      <c r="D1176" s="86" t="s">
        <v>844</v>
      </c>
      <c r="E1176" s="86" t="s">
        <v>303</v>
      </c>
      <c r="F1176" s="87" t="s">
        <v>304</v>
      </c>
      <c r="G1176" s="96">
        <v>88</v>
      </c>
      <c r="H1176" s="97" t="s">
        <v>105</v>
      </c>
      <c r="I1176" s="86" t="s">
        <v>227</v>
      </c>
      <c r="J1176" s="86" t="s">
        <v>844</v>
      </c>
      <c r="K1176" s="86" t="s">
        <v>303</v>
      </c>
      <c r="L1176" s="87" t="s">
        <v>304</v>
      </c>
    </row>
    <row r="1177" spans="1:12" s="90" customFormat="1" ht="12.75" customHeight="1">
      <c r="A1177" s="99" t="s">
        <v>23</v>
      </c>
      <c r="B1177" s="100" t="s">
        <v>108</v>
      </c>
      <c r="C1177" s="101"/>
      <c r="D1177" s="101"/>
      <c r="E1177" s="101"/>
      <c r="F1177" s="102"/>
      <c r="G1177" s="99" t="s">
        <v>23</v>
      </c>
      <c r="H1177" s="100" t="s">
        <v>129</v>
      </c>
      <c r="I1177" s="101">
        <f>SUM(I1178:I1182)</f>
        <v>205900</v>
      </c>
      <c r="J1177" s="101">
        <f>SUM(J1178:J1182)</f>
        <v>205900</v>
      </c>
      <c r="K1177" s="101">
        <f>SUM(K1178:K1182)</f>
        <v>0</v>
      </c>
      <c r="L1177" s="102">
        <f>+K1177/J1177+IF(L1177=0/0,0%)</f>
        <v>0</v>
      </c>
    </row>
    <row r="1178" spans="1:12" s="90" customFormat="1" ht="12.75" customHeight="1">
      <c r="A1178" s="99" t="s">
        <v>111</v>
      </c>
      <c r="B1178" s="116" t="s">
        <v>209</v>
      </c>
      <c r="C1178" s="106"/>
      <c r="D1178" s="106"/>
      <c r="E1178" s="106"/>
      <c r="F1178" s="599"/>
      <c r="G1178" s="99" t="s">
        <v>111</v>
      </c>
      <c r="H1178" s="116" t="s">
        <v>80</v>
      </c>
      <c r="I1178" s="106"/>
      <c r="J1178" s="106"/>
      <c r="K1178" s="106"/>
      <c r="L1178" s="599"/>
    </row>
    <row r="1179" spans="1:12" s="90" customFormat="1" ht="12.75" customHeight="1">
      <c r="A1179" s="99"/>
      <c r="B1179" s="116" t="s">
        <v>210</v>
      </c>
      <c r="C1179" s="106"/>
      <c r="D1179" s="106"/>
      <c r="E1179" s="106"/>
      <c r="F1179" s="599"/>
      <c r="G1179" s="99" t="s">
        <v>112</v>
      </c>
      <c r="H1179" s="116" t="s">
        <v>147</v>
      </c>
      <c r="I1179" s="106"/>
      <c r="J1179" s="106"/>
      <c r="K1179" s="106"/>
      <c r="L1179" s="599"/>
    </row>
    <row r="1180" spans="1:12" s="90" customFormat="1" ht="12.75" customHeight="1">
      <c r="A1180" s="99" t="s">
        <v>112</v>
      </c>
      <c r="B1180" s="116" t="s">
        <v>9</v>
      </c>
      <c r="C1180" s="106"/>
      <c r="D1180" s="106"/>
      <c r="E1180" s="106"/>
      <c r="F1180" s="599"/>
      <c r="G1180" s="99" t="s">
        <v>113</v>
      </c>
      <c r="H1180" s="116" t="s">
        <v>83</v>
      </c>
      <c r="I1180" s="106"/>
      <c r="J1180" s="106"/>
      <c r="K1180" s="106"/>
      <c r="L1180" s="599"/>
    </row>
    <row r="1181" spans="1:12" s="90" customFormat="1" ht="12.75" customHeight="1">
      <c r="A1181" s="99" t="s">
        <v>113</v>
      </c>
      <c r="B1181" s="116" t="s">
        <v>170</v>
      </c>
      <c r="C1181" s="106"/>
      <c r="D1181" s="106"/>
      <c r="E1181" s="106"/>
      <c r="F1181" s="599"/>
      <c r="G1181" s="99" t="s">
        <v>114</v>
      </c>
      <c r="H1181" s="116" t="s">
        <v>84</v>
      </c>
      <c r="I1181" s="106"/>
      <c r="J1181" s="106"/>
      <c r="K1181" s="106"/>
      <c r="L1181" s="599"/>
    </row>
    <row r="1182" spans="1:12" s="90" customFormat="1" ht="12.75" customHeight="1">
      <c r="A1182" s="99" t="s">
        <v>114</v>
      </c>
      <c r="B1182" s="116" t="s">
        <v>181</v>
      </c>
      <c r="C1182" s="106"/>
      <c r="D1182" s="106"/>
      <c r="E1182" s="106"/>
      <c r="F1182" s="599"/>
      <c r="G1182" s="99" t="s">
        <v>115</v>
      </c>
      <c r="H1182" s="116" t="s">
        <v>211</v>
      </c>
      <c r="I1182" s="106">
        <v>205900</v>
      </c>
      <c r="J1182" s="106">
        <v>205900</v>
      </c>
      <c r="K1182" s="106">
        <v>0</v>
      </c>
      <c r="L1182" s="599">
        <f>+K1182/J1182+IF(L1182=0/0,0%)</f>
        <v>0</v>
      </c>
    </row>
    <row r="1183" spans="1:12" s="90" customFormat="1" ht="12.75" customHeight="1">
      <c r="A1183" s="112" t="s">
        <v>45</v>
      </c>
      <c r="B1183" s="100" t="s">
        <v>118</v>
      </c>
      <c r="C1183" s="101"/>
      <c r="D1183" s="101"/>
      <c r="E1183" s="101"/>
      <c r="F1183" s="102"/>
      <c r="G1183" s="112" t="s">
        <v>45</v>
      </c>
      <c r="H1183" s="100" t="s">
        <v>130</v>
      </c>
      <c r="I1183" s="101"/>
      <c r="J1183" s="101"/>
      <c r="K1183" s="101"/>
      <c r="L1183" s="102"/>
    </row>
    <row r="1184" spans="1:12" s="90" customFormat="1" ht="12.75" customHeight="1">
      <c r="A1184" s="112" t="s">
        <v>111</v>
      </c>
      <c r="B1184" s="100" t="s">
        <v>106</v>
      </c>
      <c r="C1184" s="106"/>
      <c r="D1184" s="106"/>
      <c r="E1184" s="106"/>
      <c r="F1184" s="599"/>
      <c r="G1184" s="112" t="s">
        <v>111</v>
      </c>
      <c r="H1184" s="100" t="s">
        <v>131</v>
      </c>
      <c r="I1184" s="106"/>
      <c r="J1184" s="106"/>
      <c r="K1184" s="106"/>
      <c r="L1184" s="599"/>
    </row>
    <row r="1185" spans="1:12" s="90" customFormat="1" ht="12.75" customHeight="1">
      <c r="A1185" s="112" t="s">
        <v>112</v>
      </c>
      <c r="B1185" s="100" t="s">
        <v>39</v>
      </c>
      <c r="C1185" s="106"/>
      <c r="D1185" s="106"/>
      <c r="E1185" s="106"/>
      <c r="F1185" s="599"/>
      <c r="G1185" s="112" t="s">
        <v>112</v>
      </c>
      <c r="H1185" s="100" t="s">
        <v>87</v>
      </c>
      <c r="I1185" s="106"/>
      <c r="J1185" s="106"/>
      <c r="K1185" s="106"/>
      <c r="L1185" s="599"/>
    </row>
    <row r="1186" spans="1:12" s="90" customFormat="1" ht="12.75" customHeight="1">
      <c r="A1186" s="112" t="s">
        <v>113</v>
      </c>
      <c r="B1186" s="100" t="s">
        <v>201</v>
      </c>
      <c r="C1186" s="106"/>
      <c r="D1186" s="106"/>
      <c r="E1186" s="106"/>
      <c r="F1186" s="599"/>
      <c r="G1186" s="112" t="s">
        <v>113</v>
      </c>
      <c r="H1186" s="100" t="s">
        <v>90</v>
      </c>
      <c r="I1186" s="106"/>
      <c r="J1186" s="106"/>
      <c r="K1186" s="106"/>
      <c r="L1186" s="599"/>
    </row>
    <row r="1187" spans="1:12" s="90" customFormat="1" ht="12.75" customHeight="1">
      <c r="A1187" s="112" t="s">
        <v>56</v>
      </c>
      <c r="B1187" s="100" t="s">
        <v>126</v>
      </c>
      <c r="C1187" s="101">
        <v>205900</v>
      </c>
      <c r="D1187" s="101">
        <v>205900</v>
      </c>
      <c r="E1187" s="101">
        <v>205900</v>
      </c>
      <c r="F1187" s="102">
        <f>+E1187/D1187</f>
        <v>1</v>
      </c>
      <c r="G1187" s="112" t="s">
        <v>56</v>
      </c>
      <c r="H1187" s="100" t="s">
        <v>132</v>
      </c>
      <c r="I1187" s="101"/>
      <c r="J1187" s="101"/>
      <c r="K1187" s="101"/>
      <c r="L1187" s="102"/>
    </row>
    <row r="1188" spans="1:12" s="90" customFormat="1" ht="12.75" customHeight="1">
      <c r="A1188" s="99" t="s">
        <v>64</v>
      </c>
      <c r="B1188" s="116" t="s">
        <v>127</v>
      </c>
      <c r="C1188" s="101"/>
      <c r="D1188" s="101"/>
      <c r="E1188" s="101"/>
      <c r="F1188" s="102"/>
      <c r="G1188" s="99" t="s">
        <v>64</v>
      </c>
      <c r="H1188" s="116" t="s">
        <v>133</v>
      </c>
      <c r="I1188" s="101"/>
      <c r="J1188" s="101"/>
      <c r="K1188" s="101"/>
      <c r="L1188" s="102"/>
    </row>
    <row r="1189" spans="1:12" s="124" customFormat="1" ht="12.75" customHeight="1" thickBot="1">
      <c r="A1189" s="117"/>
      <c r="B1189" s="118" t="s">
        <v>148</v>
      </c>
      <c r="C1189" s="88">
        <f>+C1177+C1183+C1187+C1188</f>
        <v>205900</v>
      </c>
      <c r="D1189" s="88">
        <f>+D1177+D1183+D1187+D1188</f>
        <v>205900</v>
      </c>
      <c r="E1189" s="88">
        <f>+E1177+E1183+E1187+E1188</f>
        <v>205900</v>
      </c>
      <c r="F1189" s="119">
        <f>+E1189/D1189</f>
        <v>1</v>
      </c>
      <c r="G1189" s="117"/>
      <c r="H1189" s="118" t="s">
        <v>149</v>
      </c>
      <c r="I1189" s="88">
        <f>I1177+I1183+I1187+I1188</f>
        <v>205900</v>
      </c>
      <c r="J1189" s="88">
        <f>J1177+J1183+J1187+J1188</f>
        <v>205900</v>
      </c>
      <c r="K1189" s="88">
        <f>K1177+K1183+K1187+K1188</f>
        <v>0</v>
      </c>
      <c r="L1189" s="119">
        <f>+K1189/J1189+IF(L1189=0/0,0%)</f>
        <v>0</v>
      </c>
    </row>
    <row r="1190" spans="1:12" s="126" customFormat="1" ht="12.75" customHeight="1">
      <c r="A1190" s="124"/>
      <c r="B1190" s="124"/>
      <c r="C1190" s="93"/>
      <c r="D1190" s="93"/>
      <c r="E1190" s="595"/>
      <c r="F1190" s="595"/>
      <c r="G1190" s="124"/>
      <c r="H1190" s="124"/>
      <c r="I1190" s="93"/>
      <c r="J1190" s="93"/>
      <c r="K1190" s="595"/>
      <c r="L1190" s="595"/>
    </row>
    <row r="1191" spans="1:12" s="90" customFormat="1" ht="12.75" customHeight="1" thickBot="1">
      <c r="A1191" s="90" t="s">
        <v>278</v>
      </c>
      <c r="B1191" s="124"/>
      <c r="C1191" s="93"/>
      <c r="D1191" s="93"/>
      <c r="E1191" s="93"/>
      <c r="F1191" s="93"/>
      <c r="G1191" s="124"/>
      <c r="H1191" s="124"/>
      <c r="I1191" s="595"/>
      <c r="J1191" s="595"/>
      <c r="K1191" s="93"/>
      <c r="L1191" s="596" t="s">
        <v>216</v>
      </c>
    </row>
    <row r="1192" spans="1:12" s="90" customFormat="1" ht="24.75" customHeight="1">
      <c r="A1192" s="96"/>
      <c r="B1192" s="97" t="s">
        <v>104</v>
      </c>
      <c r="C1192" s="86" t="s">
        <v>227</v>
      </c>
      <c r="D1192" s="86" t="s">
        <v>844</v>
      </c>
      <c r="E1192" s="86" t="s">
        <v>303</v>
      </c>
      <c r="F1192" s="87" t="s">
        <v>304</v>
      </c>
      <c r="G1192" s="96">
        <v>89</v>
      </c>
      <c r="H1192" s="97" t="s">
        <v>105</v>
      </c>
      <c r="I1192" s="86" t="s">
        <v>227</v>
      </c>
      <c r="J1192" s="86" t="s">
        <v>844</v>
      </c>
      <c r="K1192" s="86" t="s">
        <v>303</v>
      </c>
      <c r="L1192" s="87" t="s">
        <v>304</v>
      </c>
    </row>
    <row r="1193" spans="1:12" s="90" customFormat="1" ht="12.75" customHeight="1">
      <c r="A1193" s="99" t="s">
        <v>23</v>
      </c>
      <c r="B1193" s="100" t="s">
        <v>108</v>
      </c>
      <c r="C1193" s="101"/>
      <c r="D1193" s="101"/>
      <c r="E1193" s="101"/>
      <c r="F1193" s="102"/>
      <c r="G1193" s="99" t="s">
        <v>23</v>
      </c>
      <c r="H1193" s="100" t="s">
        <v>129</v>
      </c>
      <c r="I1193" s="101">
        <f>SUM(I1194:I1198)</f>
        <v>14165850</v>
      </c>
      <c r="J1193" s="101">
        <f>SUM(J1194:J1198)</f>
        <v>10665850</v>
      </c>
      <c r="K1193" s="101">
        <f>SUM(K1194:K1198)</f>
        <v>0</v>
      </c>
      <c r="L1193" s="102">
        <f>+K1193/J1193</f>
        <v>0</v>
      </c>
    </row>
    <row r="1194" spans="1:12" s="90" customFormat="1" ht="12.75" customHeight="1">
      <c r="A1194" s="99" t="s">
        <v>111</v>
      </c>
      <c r="B1194" s="116" t="s">
        <v>209</v>
      </c>
      <c r="C1194" s="106"/>
      <c r="D1194" s="106"/>
      <c r="E1194" s="106"/>
      <c r="F1194" s="599"/>
      <c r="G1194" s="99" t="s">
        <v>111</v>
      </c>
      <c r="H1194" s="116" t="s">
        <v>80</v>
      </c>
      <c r="I1194" s="106">
        <v>1119384</v>
      </c>
      <c r="J1194" s="106">
        <v>1119384</v>
      </c>
      <c r="K1194" s="106">
        <v>0</v>
      </c>
      <c r="L1194" s="599">
        <f aca="true" t="shared" si="6" ref="L1194:L1205">+K1194/J1194</f>
        <v>0</v>
      </c>
    </row>
    <row r="1195" spans="1:12" s="90" customFormat="1" ht="12.75" customHeight="1">
      <c r="A1195" s="99"/>
      <c r="B1195" s="116" t="s">
        <v>210</v>
      </c>
      <c r="C1195" s="106"/>
      <c r="D1195" s="106"/>
      <c r="E1195" s="106"/>
      <c r="F1195" s="599"/>
      <c r="G1195" s="99" t="s">
        <v>112</v>
      </c>
      <c r="H1195" s="116" t="s">
        <v>147</v>
      </c>
      <c r="I1195" s="106">
        <v>223657</v>
      </c>
      <c r="J1195" s="106">
        <v>223657</v>
      </c>
      <c r="K1195" s="106">
        <v>0</v>
      </c>
      <c r="L1195" s="599">
        <f t="shared" si="6"/>
        <v>0</v>
      </c>
    </row>
    <row r="1196" spans="1:12" s="90" customFormat="1" ht="12.75" customHeight="1">
      <c r="A1196" s="99" t="s">
        <v>112</v>
      </c>
      <c r="B1196" s="116" t="s">
        <v>9</v>
      </c>
      <c r="C1196" s="106"/>
      <c r="D1196" s="106"/>
      <c r="E1196" s="106"/>
      <c r="F1196" s="599"/>
      <c r="G1196" s="99" t="s">
        <v>113</v>
      </c>
      <c r="H1196" s="116" t="s">
        <v>83</v>
      </c>
      <c r="I1196" s="106">
        <f>12017700+1249609-444500</f>
        <v>12822809</v>
      </c>
      <c r="J1196" s="106">
        <v>9322809</v>
      </c>
      <c r="K1196" s="106">
        <v>0</v>
      </c>
      <c r="L1196" s="599">
        <f t="shared" si="6"/>
        <v>0</v>
      </c>
    </row>
    <row r="1197" spans="1:12" s="90" customFormat="1" ht="12.75" customHeight="1">
      <c r="A1197" s="99" t="s">
        <v>113</v>
      </c>
      <c r="B1197" s="116" t="s">
        <v>170</v>
      </c>
      <c r="C1197" s="106"/>
      <c r="D1197" s="106"/>
      <c r="E1197" s="106"/>
      <c r="F1197" s="599"/>
      <c r="G1197" s="99" t="s">
        <v>114</v>
      </c>
      <c r="H1197" s="116" t="s">
        <v>84</v>
      </c>
      <c r="I1197" s="106"/>
      <c r="J1197" s="106"/>
      <c r="K1197" s="106"/>
      <c r="L1197" s="599"/>
    </row>
    <row r="1198" spans="1:12" s="90" customFormat="1" ht="12.75" customHeight="1">
      <c r="A1198" s="99" t="s">
        <v>114</v>
      </c>
      <c r="B1198" s="116" t="s">
        <v>181</v>
      </c>
      <c r="C1198" s="106"/>
      <c r="D1198" s="106"/>
      <c r="E1198" s="106"/>
      <c r="F1198" s="599"/>
      <c r="G1198" s="99" t="s">
        <v>115</v>
      </c>
      <c r="H1198" s="116" t="s">
        <v>211</v>
      </c>
      <c r="I1198" s="106"/>
      <c r="J1198" s="106"/>
      <c r="K1198" s="106"/>
      <c r="L1198" s="599"/>
    </row>
    <row r="1199" spans="1:12" s="90" customFormat="1" ht="12.75" customHeight="1">
      <c r="A1199" s="112" t="s">
        <v>45</v>
      </c>
      <c r="B1199" s="100" t="s">
        <v>118</v>
      </c>
      <c r="C1199" s="101"/>
      <c r="D1199" s="101"/>
      <c r="E1199" s="101"/>
      <c r="F1199" s="102"/>
      <c r="G1199" s="112" t="s">
        <v>45</v>
      </c>
      <c r="H1199" s="100" t="s">
        <v>130</v>
      </c>
      <c r="I1199" s="101"/>
      <c r="J1199" s="101">
        <f>J1200+J1201+J1202</f>
        <v>3500000</v>
      </c>
      <c r="K1199" s="101">
        <f>K1200+K1201+K1202</f>
        <v>750000</v>
      </c>
      <c r="L1199" s="102">
        <f t="shared" si="6"/>
        <v>0.21428571428571427</v>
      </c>
    </row>
    <row r="1200" spans="1:12" s="90" customFormat="1" ht="12.75" customHeight="1">
      <c r="A1200" s="112" t="s">
        <v>111</v>
      </c>
      <c r="B1200" s="100" t="s">
        <v>106</v>
      </c>
      <c r="C1200" s="106"/>
      <c r="D1200" s="106"/>
      <c r="E1200" s="106"/>
      <c r="F1200" s="599"/>
      <c r="G1200" s="112" t="s">
        <v>111</v>
      </c>
      <c r="H1200" s="100" t="s">
        <v>131</v>
      </c>
      <c r="I1200" s="106"/>
      <c r="J1200" s="106">
        <v>3500000</v>
      </c>
      <c r="K1200" s="106">
        <v>750000</v>
      </c>
      <c r="L1200" s="599">
        <f t="shared" si="6"/>
        <v>0.21428571428571427</v>
      </c>
    </row>
    <row r="1201" spans="1:12" s="90" customFormat="1" ht="12.75" customHeight="1">
      <c r="A1201" s="112" t="s">
        <v>112</v>
      </c>
      <c r="B1201" s="100" t="s">
        <v>39</v>
      </c>
      <c r="C1201" s="106"/>
      <c r="D1201" s="106"/>
      <c r="E1201" s="106"/>
      <c r="F1201" s="599"/>
      <c r="G1201" s="112" t="s">
        <v>112</v>
      </c>
      <c r="H1201" s="100" t="s">
        <v>87</v>
      </c>
      <c r="I1201" s="106"/>
      <c r="J1201" s="106"/>
      <c r="K1201" s="106"/>
      <c r="L1201" s="599"/>
    </row>
    <row r="1202" spans="1:12" s="90" customFormat="1" ht="12.75" customHeight="1">
      <c r="A1202" s="112" t="s">
        <v>113</v>
      </c>
      <c r="B1202" s="100" t="s">
        <v>201</v>
      </c>
      <c r="C1202" s="106"/>
      <c r="D1202" s="106"/>
      <c r="E1202" s="106"/>
      <c r="F1202" s="599"/>
      <c r="G1202" s="112" t="s">
        <v>113</v>
      </c>
      <c r="H1202" s="100" t="s">
        <v>90</v>
      </c>
      <c r="I1202" s="106"/>
      <c r="J1202" s="106"/>
      <c r="K1202" s="106"/>
      <c r="L1202" s="599"/>
    </row>
    <row r="1203" spans="1:12" s="90" customFormat="1" ht="12.75" customHeight="1">
      <c r="A1203" s="112" t="s">
        <v>56</v>
      </c>
      <c r="B1203" s="100" t="s">
        <v>126</v>
      </c>
      <c r="C1203" s="101">
        <v>14165850</v>
      </c>
      <c r="D1203" s="101">
        <f>14165850-750000</f>
        <v>13415850</v>
      </c>
      <c r="E1203" s="101">
        <v>13415850</v>
      </c>
      <c r="F1203" s="102">
        <f>+E1203/D1203</f>
        <v>1</v>
      </c>
      <c r="G1203" s="112" t="s">
        <v>56</v>
      </c>
      <c r="H1203" s="100" t="s">
        <v>132</v>
      </c>
      <c r="I1203" s="101"/>
      <c r="J1203" s="101"/>
      <c r="K1203" s="101"/>
      <c r="L1203" s="102"/>
    </row>
    <row r="1204" spans="1:12" s="90" customFormat="1" ht="12.75" customHeight="1">
      <c r="A1204" s="99" t="s">
        <v>64</v>
      </c>
      <c r="B1204" s="116" t="s">
        <v>127</v>
      </c>
      <c r="C1204" s="101"/>
      <c r="D1204" s="101">
        <v>750000</v>
      </c>
      <c r="E1204" s="101">
        <v>750000</v>
      </c>
      <c r="F1204" s="102">
        <f>+E1204/D1204</f>
        <v>1</v>
      </c>
      <c r="G1204" s="99" t="s">
        <v>64</v>
      </c>
      <c r="H1204" s="116" t="s">
        <v>133</v>
      </c>
      <c r="I1204" s="101"/>
      <c r="J1204" s="101"/>
      <c r="K1204" s="101"/>
      <c r="L1204" s="102"/>
    </row>
    <row r="1205" spans="1:12" s="124" customFormat="1" ht="12.75" customHeight="1" thickBot="1">
      <c r="A1205" s="117"/>
      <c r="B1205" s="118" t="s">
        <v>148</v>
      </c>
      <c r="C1205" s="88">
        <f>+C1193+C1199+C1203+C1204</f>
        <v>14165850</v>
      </c>
      <c r="D1205" s="88">
        <f>+D1193+D1199+D1203+D1204</f>
        <v>14165850</v>
      </c>
      <c r="E1205" s="88">
        <f>+E1193+E1199+E1203+E1204</f>
        <v>14165850</v>
      </c>
      <c r="F1205" s="119">
        <f>+E1205/D1205</f>
        <v>1</v>
      </c>
      <c r="G1205" s="117"/>
      <c r="H1205" s="118" t="s">
        <v>149</v>
      </c>
      <c r="I1205" s="88">
        <f>I1193+I1199+I1203+I1204</f>
        <v>14165850</v>
      </c>
      <c r="J1205" s="88">
        <f>J1193+J1199+J1203+J1204</f>
        <v>14165850</v>
      </c>
      <c r="K1205" s="88">
        <f>K1193+K1199+K1203+K1204</f>
        <v>750000</v>
      </c>
      <c r="L1205" s="119">
        <f t="shared" si="6"/>
        <v>0.052944228549645804</v>
      </c>
    </row>
    <row r="1206" spans="1:12" s="126" customFormat="1" ht="25.5" customHeight="1">
      <c r="A1206" s="124"/>
      <c r="B1206" s="124"/>
      <c r="C1206" s="93"/>
      <c r="D1206" s="93"/>
      <c r="E1206" s="93"/>
      <c r="F1206" s="93"/>
      <c r="G1206" s="124"/>
      <c r="H1206" s="124"/>
      <c r="I1206" s="93"/>
      <c r="J1206" s="93"/>
      <c r="K1206" s="93"/>
      <c r="L1206" s="93"/>
    </row>
    <row r="1207" spans="1:12" s="90" customFormat="1" ht="12.75" customHeight="1" thickBot="1">
      <c r="A1207" s="90" t="s">
        <v>813</v>
      </c>
      <c r="B1207" s="124"/>
      <c r="C1207" s="93"/>
      <c r="D1207" s="93"/>
      <c r="E1207" s="93"/>
      <c r="F1207" s="93"/>
      <c r="G1207" s="124"/>
      <c r="H1207" s="124"/>
      <c r="I1207" s="595"/>
      <c r="J1207" s="595"/>
      <c r="K1207" s="93"/>
      <c r="L1207" s="596" t="s">
        <v>216</v>
      </c>
    </row>
    <row r="1208" spans="1:12" s="90" customFormat="1" ht="24.75" customHeight="1">
      <c r="A1208" s="96"/>
      <c r="B1208" s="97" t="s">
        <v>104</v>
      </c>
      <c r="C1208" s="86" t="s">
        <v>227</v>
      </c>
      <c r="D1208" s="86" t="s">
        <v>844</v>
      </c>
      <c r="E1208" s="86" t="s">
        <v>303</v>
      </c>
      <c r="F1208" s="87" t="s">
        <v>304</v>
      </c>
      <c r="G1208" s="96">
        <v>91</v>
      </c>
      <c r="H1208" s="97" t="s">
        <v>105</v>
      </c>
      <c r="I1208" s="86" t="s">
        <v>227</v>
      </c>
      <c r="J1208" s="86" t="s">
        <v>844</v>
      </c>
      <c r="K1208" s="86" t="s">
        <v>303</v>
      </c>
      <c r="L1208" s="87" t="s">
        <v>304</v>
      </c>
    </row>
    <row r="1209" spans="1:12" s="90" customFormat="1" ht="12.75" customHeight="1">
      <c r="A1209" s="99" t="s">
        <v>23</v>
      </c>
      <c r="B1209" s="100" t="s">
        <v>108</v>
      </c>
      <c r="C1209" s="101"/>
      <c r="D1209" s="101"/>
      <c r="E1209" s="101"/>
      <c r="F1209" s="102"/>
      <c r="G1209" s="99" t="s">
        <v>23</v>
      </c>
      <c r="H1209" s="100" t="s">
        <v>129</v>
      </c>
      <c r="I1209" s="101">
        <f>SUM(I1210:I1214)</f>
        <v>1044219</v>
      </c>
      <c r="J1209" s="101">
        <f>SUM(J1210:J1214)</f>
        <v>1044219</v>
      </c>
      <c r="K1209" s="101">
        <f>SUM(K1210:K1214)</f>
        <v>1044219</v>
      </c>
      <c r="L1209" s="102">
        <f>+K1209/J1209</f>
        <v>1</v>
      </c>
    </row>
    <row r="1210" spans="1:12" s="90" customFormat="1" ht="12.75" customHeight="1">
      <c r="A1210" s="99" t="s">
        <v>111</v>
      </c>
      <c r="B1210" s="116" t="s">
        <v>209</v>
      </c>
      <c r="C1210" s="106"/>
      <c r="D1210" s="106"/>
      <c r="E1210" s="106"/>
      <c r="F1210" s="599"/>
      <c r="G1210" s="99" t="s">
        <v>111</v>
      </c>
      <c r="H1210" s="116" t="s">
        <v>80</v>
      </c>
      <c r="I1210" s="106">
        <v>887088</v>
      </c>
      <c r="J1210" s="106">
        <v>887088</v>
      </c>
      <c r="K1210" s="106">
        <v>887088</v>
      </c>
      <c r="L1210" s="599">
        <f>+K1210/J1210</f>
        <v>1</v>
      </c>
    </row>
    <row r="1211" spans="1:12" s="90" customFormat="1" ht="12.75" customHeight="1">
      <c r="A1211" s="99"/>
      <c r="B1211" s="116" t="s">
        <v>210</v>
      </c>
      <c r="C1211" s="106"/>
      <c r="D1211" s="106"/>
      <c r="E1211" s="106"/>
      <c r="F1211" s="599"/>
      <c r="G1211" s="99" t="s">
        <v>112</v>
      </c>
      <c r="H1211" s="116" t="s">
        <v>147</v>
      </c>
      <c r="I1211" s="106">
        <v>150006</v>
      </c>
      <c r="J1211" s="106">
        <v>150006</v>
      </c>
      <c r="K1211" s="106">
        <v>150006</v>
      </c>
      <c r="L1211" s="599">
        <f>+K1211/J1211</f>
        <v>1</v>
      </c>
    </row>
    <row r="1212" spans="1:12" s="90" customFormat="1" ht="12.75" customHeight="1">
      <c r="A1212" s="99" t="s">
        <v>112</v>
      </c>
      <c r="B1212" s="116" t="s">
        <v>9</v>
      </c>
      <c r="C1212" s="106"/>
      <c r="D1212" s="106"/>
      <c r="E1212" s="106"/>
      <c r="F1212" s="599"/>
      <c r="G1212" s="99" t="s">
        <v>113</v>
      </c>
      <c r="H1212" s="116" t="s">
        <v>83</v>
      </c>
      <c r="I1212" s="106">
        <v>0</v>
      </c>
      <c r="J1212" s="106">
        <v>0</v>
      </c>
      <c r="K1212" s="106"/>
      <c r="L1212" s="599"/>
    </row>
    <row r="1213" spans="1:12" s="90" customFormat="1" ht="12.75" customHeight="1">
      <c r="A1213" s="99" t="s">
        <v>113</v>
      </c>
      <c r="B1213" s="116" t="s">
        <v>170</v>
      </c>
      <c r="C1213" s="106"/>
      <c r="D1213" s="106"/>
      <c r="E1213" s="106"/>
      <c r="F1213" s="599"/>
      <c r="G1213" s="99" t="s">
        <v>114</v>
      </c>
      <c r="H1213" s="116" t="s">
        <v>84</v>
      </c>
      <c r="I1213" s="106"/>
      <c r="J1213" s="106"/>
      <c r="K1213" s="106"/>
      <c r="L1213" s="599"/>
    </row>
    <row r="1214" spans="1:12" s="90" customFormat="1" ht="12.75" customHeight="1">
      <c r="A1214" s="99" t="s">
        <v>114</v>
      </c>
      <c r="B1214" s="116" t="s">
        <v>181</v>
      </c>
      <c r="C1214" s="106"/>
      <c r="D1214" s="106"/>
      <c r="E1214" s="106"/>
      <c r="F1214" s="599"/>
      <c r="G1214" s="99" t="s">
        <v>115</v>
      </c>
      <c r="H1214" s="116" t="s">
        <v>211</v>
      </c>
      <c r="I1214" s="106">
        <v>7125</v>
      </c>
      <c r="J1214" s="106">
        <v>7125</v>
      </c>
      <c r="K1214" s="106">
        <v>7125</v>
      </c>
      <c r="L1214" s="599">
        <f>+K1214/J1214</f>
        <v>1</v>
      </c>
    </row>
    <row r="1215" spans="1:12" s="90" customFormat="1" ht="12.75" customHeight="1">
      <c r="A1215" s="112" t="s">
        <v>45</v>
      </c>
      <c r="B1215" s="100" t="s">
        <v>118</v>
      </c>
      <c r="C1215" s="101"/>
      <c r="D1215" s="101"/>
      <c r="E1215" s="101"/>
      <c r="F1215" s="102"/>
      <c r="G1215" s="112" t="s">
        <v>45</v>
      </c>
      <c r="H1215" s="100" t="s">
        <v>130</v>
      </c>
      <c r="I1215" s="101"/>
      <c r="J1215" s="101"/>
      <c r="K1215" s="101"/>
      <c r="L1215" s="102"/>
    </row>
    <row r="1216" spans="1:12" s="90" customFormat="1" ht="12.75" customHeight="1">
      <c r="A1216" s="112" t="s">
        <v>111</v>
      </c>
      <c r="B1216" s="100" t="s">
        <v>106</v>
      </c>
      <c r="C1216" s="106"/>
      <c r="D1216" s="106"/>
      <c r="E1216" s="106"/>
      <c r="F1216" s="599"/>
      <c r="G1216" s="112" t="s">
        <v>111</v>
      </c>
      <c r="H1216" s="100" t="s">
        <v>131</v>
      </c>
      <c r="I1216" s="106"/>
      <c r="J1216" s="106"/>
      <c r="K1216" s="106"/>
      <c r="L1216" s="599"/>
    </row>
    <row r="1217" spans="1:12" s="90" customFormat="1" ht="12.75" customHeight="1">
      <c r="A1217" s="112" t="s">
        <v>112</v>
      </c>
      <c r="B1217" s="100" t="s">
        <v>39</v>
      </c>
      <c r="C1217" s="106"/>
      <c r="D1217" s="106"/>
      <c r="E1217" s="106"/>
      <c r="F1217" s="599"/>
      <c r="G1217" s="112" t="s">
        <v>112</v>
      </c>
      <c r="H1217" s="100" t="s">
        <v>87</v>
      </c>
      <c r="I1217" s="106"/>
      <c r="J1217" s="106"/>
      <c r="K1217" s="106"/>
      <c r="L1217" s="599"/>
    </row>
    <row r="1218" spans="1:12" s="90" customFormat="1" ht="12.75" customHeight="1">
      <c r="A1218" s="112" t="s">
        <v>113</v>
      </c>
      <c r="B1218" s="100" t="s">
        <v>201</v>
      </c>
      <c r="C1218" s="106"/>
      <c r="D1218" s="106"/>
      <c r="E1218" s="106"/>
      <c r="F1218" s="599"/>
      <c r="G1218" s="112" t="s">
        <v>113</v>
      </c>
      <c r="H1218" s="100" t="s">
        <v>90</v>
      </c>
      <c r="I1218" s="106"/>
      <c r="J1218" s="106"/>
      <c r="K1218" s="106"/>
      <c r="L1218" s="599"/>
    </row>
    <row r="1219" spans="1:12" s="90" customFormat="1" ht="12.75" customHeight="1">
      <c r="A1219" s="112" t="s">
        <v>56</v>
      </c>
      <c r="B1219" s="100" t="s">
        <v>126</v>
      </c>
      <c r="C1219" s="101">
        <v>1044219</v>
      </c>
      <c r="D1219" s="101">
        <v>1044219</v>
      </c>
      <c r="E1219" s="101">
        <v>1044219</v>
      </c>
      <c r="F1219" s="102">
        <f>+E1219/D1219</f>
        <v>1</v>
      </c>
      <c r="G1219" s="112" t="s">
        <v>56</v>
      </c>
      <c r="H1219" s="100" t="s">
        <v>132</v>
      </c>
      <c r="I1219" s="101"/>
      <c r="J1219" s="101"/>
      <c r="K1219" s="101"/>
      <c r="L1219" s="102"/>
    </row>
    <row r="1220" spans="1:12" s="90" customFormat="1" ht="12.75" customHeight="1">
      <c r="A1220" s="99" t="s">
        <v>64</v>
      </c>
      <c r="B1220" s="116" t="s">
        <v>127</v>
      </c>
      <c r="C1220" s="101"/>
      <c r="D1220" s="101"/>
      <c r="E1220" s="101"/>
      <c r="F1220" s="102"/>
      <c r="G1220" s="99" t="s">
        <v>64</v>
      </c>
      <c r="H1220" s="116" t="s">
        <v>133</v>
      </c>
      <c r="I1220" s="101"/>
      <c r="J1220" s="101"/>
      <c r="K1220" s="101"/>
      <c r="L1220" s="102"/>
    </row>
    <row r="1221" spans="1:12" s="124" customFormat="1" ht="12.75" customHeight="1" thickBot="1">
      <c r="A1221" s="117"/>
      <c r="B1221" s="118" t="s">
        <v>148</v>
      </c>
      <c r="C1221" s="88">
        <f>+C1209+C1215+C1219+C1220</f>
        <v>1044219</v>
      </c>
      <c r="D1221" s="88">
        <f>+D1209+D1215+D1219+D1220</f>
        <v>1044219</v>
      </c>
      <c r="E1221" s="88">
        <f>+E1209+E1215+E1219+E1220</f>
        <v>1044219</v>
      </c>
      <c r="F1221" s="119">
        <f>+E1221/D1221</f>
        <v>1</v>
      </c>
      <c r="G1221" s="117"/>
      <c r="H1221" s="118" t="s">
        <v>149</v>
      </c>
      <c r="I1221" s="88">
        <f>+I1215+I1209</f>
        <v>1044219</v>
      </c>
      <c r="J1221" s="88">
        <f>+J1215+J1209</f>
        <v>1044219</v>
      </c>
      <c r="K1221" s="88">
        <f>+K1215+K1209</f>
        <v>1044219</v>
      </c>
      <c r="L1221" s="119">
        <f>+K1221/J1221</f>
        <v>1</v>
      </c>
    </row>
    <row r="1222" spans="1:12" s="126" customFormat="1" ht="12.75" customHeight="1">
      <c r="A1222" s="124"/>
      <c r="B1222" s="124"/>
      <c r="C1222" s="93"/>
      <c r="D1222" s="93"/>
      <c r="E1222" s="93"/>
      <c r="F1222" s="93"/>
      <c r="G1222" s="124"/>
      <c r="H1222" s="124"/>
      <c r="I1222" s="93"/>
      <c r="J1222" s="93"/>
      <c r="K1222" s="93"/>
      <c r="L1222" s="93"/>
    </row>
    <row r="1223" spans="1:12" s="90" customFormat="1" ht="12.75" customHeight="1" thickBot="1">
      <c r="A1223" s="90" t="s">
        <v>814</v>
      </c>
      <c r="B1223" s="124"/>
      <c r="C1223" s="93"/>
      <c r="D1223" s="93"/>
      <c r="E1223" s="93"/>
      <c r="F1223" s="93"/>
      <c r="G1223" s="124"/>
      <c r="H1223" s="124"/>
      <c r="I1223" s="595"/>
      <c r="J1223" s="595"/>
      <c r="K1223" s="93"/>
      <c r="L1223" s="596" t="s">
        <v>216</v>
      </c>
    </row>
    <row r="1224" spans="1:12" s="90" customFormat="1" ht="24.75" customHeight="1">
      <c r="A1224" s="96"/>
      <c r="B1224" s="97" t="s">
        <v>104</v>
      </c>
      <c r="C1224" s="86" t="s">
        <v>227</v>
      </c>
      <c r="D1224" s="86" t="s">
        <v>844</v>
      </c>
      <c r="E1224" s="86" t="s">
        <v>303</v>
      </c>
      <c r="F1224" s="87" t="s">
        <v>304</v>
      </c>
      <c r="G1224" s="96">
        <v>92</v>
      </c>
      <c r="H1224" s="97" t="s">
        <v>105</v>
      </c>
      <c r="I1224" s="86" t="s">
        <v>227</v>
      </c>
      <c r="J1224" s="86" t="s">
        <v>844</v>
      </c>
      <c r="K1224" s="86" t="s">
        <v>303</v>
      </c>
      <c r="L1224" s="87" t="s">
        <v>304</v>
      </c>
    </row>
    <row r="1225" spans="1:12" s="90" customFormat="1" ht="12.75" customHeight="1">
      <c r="A1225" s="99" t="s">
        <v>23</v>
      </c>
      <c r="B1225" s="100" t="s">
        <v>108</v>
      </c>
      <c r="C1225" s="101"/>
      <c r="D1225" s="101"/>
      <c r="E1225" s="101"/>
      <c r="F1225" s="102"/>
      <c r="G1225" s="99" t="s">
        <v>23</v>
      </c>
      <c r="H1225" s="100" t="s">
        <v>129</v>
      </c>
      <c r="I1225" s="101">
        <f>SUM(I1226:I1230)</f>
        <v>3330177</v>
      </c>
      <c r="J1225" s="101">
        <f>SUM(J1226:J1230)</f>
        <v>3330177</v>
      </c>
      <c r="K1225" s="101">
        <f>SUM(K1226:K1230)</f>
        <v>2013277</v>
      </c>
      <c r="L1225" s="102">
        <f>+K1225/J1225</f>
        <v>0.6045555536537548</v>
      </c>
    </row>
    <row r="1226" spans="1:12" s="90" customFormat="1" ht="12.75" customHeight="1">
      <c r="A1226" s="99" t="s">
        <v>111</v>
      </c>
      <c r="B1226" s="116" t="s">
        <v>209</v>
      </c>
      <c r="C1226" s="106"/>
      <c r="D1226" s="106"/>
      <c r="E1226" s="106"/>
      <c r="F1226" s="599"/>
      <c r="G1226" s="99" t="s">
        <v>111</v>
      </c>
      <c r="H1226" s="116" t="s">
        <v>80</v>
      </c>
      <c r="I1226" s="106">
        <v>2491805</v>
      </c>
      <c r="J1226" s="106">
        <v>2491805</v>
      </c>
      <c r="K1226" s="106">
        <v>1726551</v>
      </c>
      <c r="L1226" s="599">
        <f>+K1226/J1226</f>
        <v>0.6928916989892869</v>
      </c>
    </row>
    <row r="1227" spans="1:12" s="90" customFormat="1" ht="12.75" customHeight="1">
      <c r="A1227" s="99"/>
      <c r="B1227" s="116" t="s">
        <v>210</v>
      </c>
      <c r="C1227" s="106"/>
      <c r="D1227" s="106"/>
      <c r="E1227" s="106"/>
      <c r="F1227" s="599"/>
      <c r="G1227" s="99" t="s">
        <v>112</v>
      </c>
      <c r="H1227" s="116" t="s">
        <v>147</v>
      </c>
      <c r="I1227" s="106">
        <v>682733</v>
      </c>
      <c r="J1227" s="106">
        <v>682733</v>
      </c>
      <c r="K1227" s="106">
        <v>286726</v>
      </c>
      <c r="L1227" s="599">
        <f>+K1227/J1227</f>
        <v>0.4199679816267853</v>
      </c>
    </row>
    <row r="1228" spans="1:12" s="90" customFormat="1" ht="12.75" customHeight="1">
      <c r="A1228" s="99" t="s">
        <v>112</v>
      </c>
      <c r="B1228" s="116" t="s">
        <v>9</v>
      </c>
      <c r="C1228" s="106"/>
      <c r="D1228" s="106"/>
      <c r="E1228" s="106"/>
      <c r="F1228" s="599"/>
      <c r="G1228" s="99" t="s">
        <v>113</v>
      </c>
      <c r="H1228" s="116" t="s">
        <v>83</v>
      </c>
      <c r="I1228" s="106">
        <f>137490+18149</f>
        <v>155639</v>
      </c>
      <c r="J1228" s="106">
        <f>137490+18149</f>
        <v>155639</v>
      </c>
      <c r="K1228" s="106">
        <v>0</v>
      </c>
      <c r="L1228" s="599">
        <f>+K1228/J1228</f>
        <v>0</v>
      </c>
    </row>
    <row r="1229" spans="1:12" s="90" customFormat="1" ht="12.75" customHeight="1">
      <c r="A1229" s="99" t="s">
        <v>113</v>
      </c>
      <c r="B1229" s="116" t="s">
        <v>170</v>
      </c>
      <c r="C1229" s="106"/>
      <c r="D1229" s="106"/>
      <c r="E1229" s="106"/>
      <c r="F1229" s="599"/>
      <c r="G1229" s="99" t="s">
        <v>114</v>
      </c>
      <c r="H1229" s="116" t="s">
        <v>84</v>
      </c>
      <c r="I1229" s="106"/>
      <c r="J1229" s="106"/>
      <c r="K1229" s="106"/>
      <c r="L1229" s="599"/>
    </row>
    <row r="1230" spans="1:12" s="90" customFormat="1" ht="12.75" customHeight="1">
      <c r="A1230" s="99" t="s">
        <v>114</v>
      </c>
      <c r="B1230" s="116" t="s">
        <v>181</v>
      </c>
      <c r="C1230" s="106"/>
      <c r="D1230" s="106"/>
      <c r="E1230" s="106"/>
      <c r="F1230" s="599"/>
      <c r="G1230" s="99" t="s">
        <v>115</v>
      </c>
      <c r="H1230" s="116" t="s">
        <v>211</v>
      </c>
      <c r="I1230" s="106"/>
      <c r="J1230" s="106"/>
      <c r="K1230" s="106"/>
      <c r="L1230" s="599"/>
    </row>
    <row r="1231" spans="1:12" s="90" customFormat="1" ht="12.75" customHeight="1">
      <c r="A1231" s="112" t="s">
        <v>45</v>
      </c>
      <c r="B1231" s="100" t="s">
        <v>118</v>
      </c>
      <c r="C1231" s="101"/>
      <c r="D1231" s="101"/>
      <c r="E1231" s="101"/>
      <c r="F1231" s="102"/>
      <c r="G1231" s="112" t="s">
        <v>45</v>
      </c>
      <c r="H1231" s="100" t="s">
        <v>130</v>
      </c>
      <c r="I1231" s="101"/>
      <c r="J1231" s="101"/>
      <c r="K1231" s="101"/>
      <c r="L1231" s="102"/>
    </row>
    <row r="1232" spans="1:12" s="90" customFormat="1" ht="12.75" customHeight="1">
      <c r="A1232" s="112" t="s">
        <v>111</v>
      </c>
      <c r="B1232" s="100" t="s">
        <v>106</v>
      </c>
      <c r="C1232" s="106"/>
      <c r="D1232" s="106"/>
      <c r="E1232" s="106"/>
      <c r="F1232" s="599"/>
      <c r="G1232" s="112" t="s">
        <v>111</v>
      </c>
      <c r="H1232" s="100" t="s">
        <v>131</v>
      </c>
      <c r="I1232" s="106"/>
      <c r="J1232" s="106"/>
      <c r="K1232" s="106"/>
      <c r="L1232" s="599"/>
    </row>
    <row r="1233" spans="1:12" s="90" customFormat="1" ht="12.75" customHeight="1">
      <c r="A1233" s="112" t="s">
        <v>112</v>
      </c>
      <c r="B1233" s="100" t="s">
        <v>39</v>
      </c>
      <c r="C1233" s="106"/>
      <c r="D1233" s="106"/>
      <c r="E1233" s="106"/>
      <c r="F1233" s="599"/>
      <c r="G1233" s="112" t="s">
        <v>112</v>
      </c>
      <c r="H1233" s="100" t="s">
        <v>87</v>
      </c>
      <c r="I1233" s="106"/>
      <c r="J1233" s="106"/>
      <c r="K1233" s="106"/>
      <c r="L1233" s="599"/>
    </row>
    <row r="1234" spans="1:12" s="90" customFormat="1" ht="12.75" customHeight="1">
      <c r="A1234" s="112" t="s">
        <v>113</v>
      </c>
      <c r="B1234" s="100" t="s">
        <v>201</v>
      </c>
      <c r="C1234" s="106"/>
      <c r="D1234" s="106"/>
      <c r="E1234" s="106"/>
      <c r="F1234" s="599"/>
      <c r="G1234" s="112" t="s">
        <v>113</v>
      </c>
      <c r="H1234" s="100" t="s">
        <v>90</v>
      </c>
      <c r="I1234" s="106"/>
      <c r="J1234" s="106"/>
      <c r="K1234" s="106"/>
      <c r="L1234" s="599"/>
    </row>
    <row r="1235" spans="1:12" s="90" customFormat="1" ht="12.75" customHeight="1">
      <c r="A1235" s="112" t="s">
        <v>56</v>
      </c>
      <c r="B1235" s="100" t="s">
        <v>126</v>
      </c>
      <c r="C1235" s="101">
        <v>3330177</v>
      </c>
      <c r="D1235" s="101">
        <v>3330177</v>
      </c>
      <c r="E1235" s="101">
        <v>3330177</v>
      </c>
      <c r="F1235" s="102">
        <f>+E1235/D1235</f>
        <v>1</v>
      </c>
      <c r="G1235" s="112" t="s">
        <v>56</v>
      </c>
      <c r="H1235" s="100" t="s">
        <v>132</v>
      </c>
      <c r="I1235" s="101"/>
      <c r="J1235" s="101"/>
      <c r="K1235" s="101"/>
      <c r="L1235" s="102"/>
    </row>
    <row r="1236" spans="1:12" s="90" customFormat="1" ht="12.75" customHeight="1">
      <c r="A1236" s="99" t="s">
        <v>64</v>
      </c>
      <c r="B1236" s="116" t="s">
        <v>127</v>
      </c>
      <c r="C1236" s="101"/>
      <c r="D1236" s="101"/>
      <c r="E1236" s="101"/>
      <c r="F1236" s="102"/>
      <c r="G1236" s="99" t="s">
        <v>64</v>
      </c>
      <c r="H1236" s="116" t="s">
        <v>133</v>
      </c>
      <c r="I1236" s="101"/>
      <c r="J1236" s="101"/>
      <c r="K1236" s="101"/>
      <c r="L1236" s="102"/>
    </row>
    <row r="1237" spans="1:12" s="124" customFormat="1" ht="12.75" customHeight="1" thickBot="1">
      <c r="A1237" s="117"/>
      <c r="B1237" s="118" t="s">
        <v>148</v>
      </c>
      <c r="C1237" s="88">
        <f>+C1225+C1231+C1235+C1236</f>
        <v>3330177</v>
      </c>
      <c r="D1237" s="88">
        <f>+D1225+D1231+D1235+D1236</f>
        <v>3330177</v>
      </c>
      <c r="E1237" s="88">
        <f>+E1225+E1231+E1235+E1236</f>
        <v>3330177</v>
      </c>
      <c r="F1237" s="119">
        <f>+E1237/D1237</f>
        <v>1</v>
      </c>
      <c r="G1237" s="117"/>
      <c r="H1237" s="118" t="s">
        <v>149</v>
      </c>
      <c r="I1237" s="88">
        <f>I1225+I1231+I1235+I1236</f>
        <v>3330177</v>
      </c>
      <c r="J1237" s="88">
        <f>J1225+J1231+J1235+J1236</f>
        <v>3330177</v>
      </c>
      <c r="K1237" s="88">
        <f>K1225+K1231+K1235+K1236</f>
        <v>2013277</v>
      </c>
      <c r="L1237" s="119">
        <f>+K1237/J1237</f>
        <v>0.6045555536537548</v>
      </c>
    </row>
    <row r="1238" spans="1:12" s="126" customFormat="1" ht="12.75" customHeight="1">
      <c r="A1238" s="124"/>
      <c r="B1238" s="124"/>
      <c r="C1238" s="93"/>
      <c r="D1238" s="93"/>
      <c r="E1238" s="93"/>
      <c r="F1238" s="93"/>
      <c r="G1238" s="124"/>
      <c r="H1238" s="124"/>
      <c r="I1238" s="93"/>
      <c r="J1238" s="93"/>
      <c r="K1238" s="93"/>
      <c r="L1238" s="93"/>
    </row>
    <row r="1239" spans="1:12" s="90" customFormat="1" ht="12.75" customHeight="1" thickBot="1">
      <c r="A1239" s="90" t="s">
        <v>815</v>
      </c>
      <c r="B1239" s="124"/>
      <c r="C1239" s="93"/>
      <c r="D1239" s="93"/>
      <c r="E1239" s="93"/>
      <c r="F1239" s="93"/>
      <c r="G1239" s="124"/>
      <c r="H1239" s="124"/>
      <c r="I1239" s="595"/>
      <c r="J1239" s="595"/>
      <c r="K1239" s="93"/>
      <c r="L1239" s="596" t="s">
        <v>216</v>
      </c>
    </row>
    <row r="1240" spans="1:12" s="90" customFormat="1" ht="24.75" customHeight="1">
      <c r="A1240" s="96"/>
      <c r="B1240" s="97" t="s">
        <v>104</v>
      </c>
      <c r="C1240" s="86" t="s">
        <v>227</v>
      </c>
      <c r="D1240" s="86" t="s">
        <v>844</v>
      </c>
      <c r="E1240" s="86" t="s">
        <v>303</v>
      </c>
      <c r="F1240" s="87" t="s">
        <v>304</v>
      </c>
      <c r="G1240" s="96">
        <v>93</v>
      </c>
      <c r="H1240" s="97" t="s">
        <v>105</v>
      </c>
      <c r="I1240" s="86" t="s">
        <v>227</v>
      </c>
      <c r="J1240" s="86" t="s">
        <v>844</v>
      </c>
      <c r="K1240" s="86" t="s">
        <v>303</v>
      </c>
      <c r="L1240" s="87" t="s">
        <v>304</v>
      </c>
    </row>
    <row r="1241" spans="1:12" s="90" customFormat="1" ht="12.75" customHeight="1">
      <c r="A1241" s="99" t="s">
        <v>23</v>
      </c>
      <c r="B1241" s="100" t="s">
        <v>108</v>
      </c>
      <c r="C1241" s="101"/>
      <c r="D1241" s="101"/>
      <c r="E1241" s="101"/>
      <c r="F1241" s="102"/>
      <c r="G1241" s="99" t="s">
        <v>23</v>
      </c>
      <c r="H1241" s="100" t="s">
        <v>129</v>
      </c>
      <c r="I1241" s="101">
        <f>SUM(I1242:I1246)</f>
        <v>1792809</v>
      </c>
      <c r="J1241" s="101">
        <f>SUM(J1242:J1246)</f>
        <v>1792809</v>
      </c>
      <c r="K1241" s="101">
        <f>SUM(K1242:K1246)</f>
        <v>1100</v>
      </c>
      <c r="L1241" s="102">
        <f>K1241/J1241</f>
        <v>0.0006135622924695269</v>
      </c>
    </row>
    <row r="1242" spans="1:12" s="90" customFormat="1" ht="12.75" customHeight="1">
      <c r="A1242" s="99" t="s">
        <v>111</v>
      </c>
      <c r="B1242" s="116" t="s">
        <v>209</v>
      </c>
      <c r="C1242" s="106"/>
      <c r="D1242" s="106"/>
      <c r="E1242" s="106"/>
      <c r="F1242" s="599"/>
      <c r="G1242" s="99" t="s">
        <v>111</v>
      </c>
      <c r="H1242" s="116" t="s">
        <v>80</v>
      </c>
      <c r="I1242" s="106"/>
      <c r="J1242" s="106"/>
      <c r="K1242" s="106"/>
      <c r="L1242" s="599"/>
    </row>
    <row r="1243" spans="1:12" s="90" customFormat="1" ht="12.75" customHeight="1">
      <c r="A1243" s="99"/>
      <c r="B1243" s="116" t="s">
        <v>210</v>
      </c>
      <c r="C1243" s="106"/>
      <c r="D1243" s="106"/>
      <c r="E1243" s="106"/>
      <c r="F1243" s="599"/>
      <c r="G1243" s="99" t="s">
        <v>112</v>
      </c>
      <c r="H1243" s="116" t="s">
        <v>147</v>
      </c>
      <c r="I1243" s="106"/>
      <c r="J1243" s="106"/>
      <c r="K1243" s="106"/>
      <c r="L1243" s="599"/>
    </row>
    <row r="1244" spans="1:12" s="90" customFormat="1" ht="12.75" customHeight="1">
      <c r="A1244" s="99" t="s">
        <v>112</v>
      </c>
      <c r="B1244" s="116" t="s">
        <v>9</v>
      </c>
      <c r="C1244" s="106"/>
      <c r="D1244" s="106"/>
      <c r="E1244" s="106"/>
      <c r="F1244" s="599"/>
      <c r="G1244" s="99" t="s">
        <v>113</v>
      </c>
      <c r="H1244" s="116" t="s">
        <v>83</v>
      </c>
      <c r="I1244" s="106">
        <f>1270000+182245+400000-59436</f>
        <v>1792809</v>
      </c>
      <c r="J1244" s="106">
        <f>1270000+182245+400000-59436</f>
        <v>1792809</v>
      </c>
      <c r="K1244" s="106">
        <v>1100</v>
      </c>
      <c r="L1244" s="599">
        <f>K1244/J1244</f>
        <v>0.0006135622924695269</v>
      </c>
    </row>
    <row r="1245" spans="1:12" s="90" customFormat="1" ht="12.75" customHeight="1">
      <c r="A1245" s="99" t="s">
        <v>113</v>
      </c>
      <c r="B1245" s="116" t="s">
        <v>170</v>
      </c>
      <c r="C1245" s="106"/>
      <c r="D1245" s="106"/>
      <c r="E1245" s="106"/>
      <c r="F1245" s="599"/>
      <c r="G1245" s="99" t="s">
        <v>114</v>
      </c>
      <c r="H1245" s="116" t="s">
        <v>84</v>
      </c>
      <c r="I1245" s="106"/>
      <c r="J1245" s="106"/>
      <c r="K1245" s="106"/>
      <c r="L1245" s="599"/>
    </row>
    <row r="1246" spans="1:12" s="90" customFormat="1" ht="12.75" customHeight="1">
      <c r="A1246" s="99" t="s">
        <v>114</v>
      </c>
      <c r="B1246" s="116" t="s">
        <v>181</v>
      </c>
      <c r="C1246" s="106"/>
      <c r="D1246" s="106"/>
      <c r="E1246" s="106"/>
      <c r="F1246" s="599"/>
      <c r="G1246" s="99" t="s">
        <v>115</v>
      </c>
      <c r="H1246" s="116" t="s">
        <v>211</v>
      </c>
      <c r="I1246" s="106"/>
      <c r="J1246" s="106"/>
      <c r="K1246" s="106"/>
      <c r="L1246" s="599"/>
    </row>
    <row r="1247" spans="1:12" s="90" customFormat="1" ht="12.75" customHeight="1">
      <c r="A1247" s="112" t="s">
        <v>45</v>
      </c>
      <c r="B1247" s="100" t="s">
        <v>118</v>
      </c>
      <c r="C1247" s="101"/>
      <c r="D1247" s="101"/>
      <c r="E1247" s="101"/>
      <c r="F1247" s="102"/>
      <c r="G1247" s="112" t="s">
        <v>45</v>
      </c>
      <c r="H1247" s="100" t="s">
        <v>130</v>
      </c>
      <c r="I1247" s="101"/>
      <c r="J1247" s="101"/>
      <c r="K1247" s="101"/>
      <c r="L1247" s="102"/>
    </row>
    <row r="1248" spans="1:12" s="90" customFormat="1" ht="12.75" customHeight="1">
      <c r="A1248" s="112" t="s">
        <v>111</v>
      </c>
      <c r="B1248" s="100" t="s">
        <v>106</v>
      </c>
      <c r="C1248" s="106"/>
      <c r="D1248" s="106"/>
      <c r="E1248" s="106"/>
      <c r="F1248" s="599"/>
      <c r="G1248" s="112" t="s">
        <v>111</v>
      </c>
      <c r="H1248" s="100" t="s">
        <v>131</v>
      </c>
      <c r="I1248" s="106"/>
      <c r="J1248" s="106"/>
      <c r="K1248" s="106"/>
      <c r="L1248" s="599"/>
    </row>
    <row r="1249" spans="1:12" s="90" customFormat="1" ht="12.75" customHeight="1">
      <c r="A1249" s="112" t="s">
        <v>112</v>
      </c>
      <c r="B1249" s="100" t="s">
        <v>39</v>
      </c>
      <c r="C1249" s="106"/>
      <c r="D1249" s="106"/>
      <c r="E1249" s="106"/>
      <c r="F1249" s="599"/>
      <c r="G1249" s="112" t="s">
        <v>112</v>
      </c>
      <c r="H1249" s="100" t="s">
        <v>87</v>
      </c>
      <c r="I1249" s="106"/>
      <c r="J1249" s="106"/>
      <c r="K1249" s="106"/>
      <c r="L1249" s="599"/>
    </row>
    <row r="1250" spans="1:12" s="90" customFormat="1" ht="12.75" customHeight="1">
      <c r="A1250" s="112" t="s">
        <v>113</v>
      </c>
      <c r="B1250" s="100" t="s">
        <v>201</v>
      </c>
      <c r="C1250" s="106"/>
      <c r="D1250" s="106"/>
      <c r="E1250" s="106"/>
      <c r="F1250" s="599"/>
      <c r="G1250" s="112" t="s">
        <v>113</v>
      </c>
      <c r="H1250" s="100" t="s">
        <v>90</v>
      </c>
      <c r="I1250" s="106"/>
      <c r="J1250" s="106"/>
      <c r="K1250" s="106"/>
      <c r="L1250" s="599"/>
    </row>
    <row r="1251" spans="1:12" s="90" customFormat="1" ht="12.75" customHeight="1">
      <c r="A1251" s="112" t="s">
        <v>56</v>
      </c>
      <c r="B1251" s="100" t="s">
        <v>126</v>
      </c>
      <c r="C1251" s="101">
        <v>1792809</v>
      </c>
      <c r="D1251" s="101">
        <v>1792809</v>
      </c>
      <c r="E1251" s="101">
        <v>1792809</v>
      </c>
      <c r="F1251" s="102">
        <f>+E1251/D1251</f>
        <v>1</v>
      </c>
      <c r="G1251" s="112" t="s">
        <v>56</v>
      </c>
      <c r="H1251" s="100" t="s">
        <v>132</v>
      </c>
      <c r="I1251" s="101"/>
      <c r="J1251" s="101"/>
      <c r="K1251" s="101"/>
      <c r="L1251" s="102"/>
    </row>
    <row r="1252" spans="1:12" s="90" customFormat="1" ht="12.75" customHeight="1">
      <c r="A1252" s="99" t="s">
        <v>64</v>
      </c>
      <c r="B1252" s="116" t="s">
        <v>127</v>
      </c>
      <c r="C1252" s="101"/>
      <c r="D1252" s="101"/>
      <c r="E1252" s="101"/>
      <c r="F1252" s="102"/>
      <c r="G1252" s="99" t="s">
        <v>64</v>
      </c>
      <c r="H1252" s="116" t="s">
        <v>133</v>
      </c>
      <c r="I1252" s="101"/>
      <c r="J1252" s="101"/>
      <c r="K1252" s="101"/>
      <c r="L1252" s="102"/>
    </row>
    <row r="1253" spans="1:12" s="124" customFormat="1" ht="12.75" customHeight="1" thickBot="1">
      <c r="A1253" s="117"/>
      <c r="B1253" s="118" t="s">
        <v>148</v>
      </c>
      <c r="C1253" s="88">
        <f>+C1241+C1247+C1251+C1252</f>
        <v>1792809</v>
      </c>
      <c r="D1253" s="88">
        <f>+D1241+D1247+D1251+D1252</f>
        <v>1792809</v>
      </c>
      <c r="E1253" s="88">
        <f>+E1241+E1247+E1251+E1252</f>
        <v>1792809</v>
      </c>
      <c r="F1253" s="119">
        <f>+E1253/D1253</f>
        <v>1</v>
      </c>
      <c r="G1253" s="117"/>
      <c r="H1253" s="118" t="s">
        <v>149</v>
      </c>
      <c r="I1253" s="88">
        <f>I1241+I1247+I1251+I1252</f>
        <v>1792809</v>
      </c>
      <c r="J1253" s="88">
        <f>J1241+J1247+J1251+J1252</f>
        <v>1792809</v>
      </c>
      <c r="K1253" s="88">
        <f>K1241+K1247+K1251+K1252</f>
        <v>1100</v>
      </c>
      <c r="L1253" s="119">
        <f>K1253/J1253</f>
        <v>0.0006135622924695269</v>
      </c>
    </row>
    <row r="1254" spans="1:12" s="126" customFormat="1" ht="25.5" customHeight="1">
      <c r="A1254" s="124"/>
      <c r="B1254" s="124"/>
      <c r="C1254" s="93"/>
      <c r="D1254" s="93"/>
      <c r="E1254" s="595"/>
      <c r="F1254" s="595"/>
      <c r="G1254" s="124"/>
      <c r="H1254" s="124"/>
      <c r="I1254" s="93"/>
      <c r="J1254" s="93"/>
      <c r="K1254" s="595"/>
      <c r="L1254" s="595"/>
    </row>
    <row r="1255" spans="1:12" s="90" customFormat="1" ht="12.75" customHeight="1" thickBot="1">
      <c r="A1255" s="90" t="s">
        <v>816</v>
      </c>
      <c r="B1255" s="124"/>
      <c r="C1255" s="93"/>
      <c r="D1255" s="93"/>
      <c r="E1255" s="93"/>
      <c r="F1255" s="93"/>
      <c r="G1255" s="124"/>
      <c r="H1255" s="124"/>
      <c r="I1255" s="595"/>
      <c r="J1255" s="595"/>
      <c r="K1255" s="93"/>
      <c r="L1255" s="596" t="s">
        <v>216</v>
      </c>
    </row>
    <row r="1256" spans="1:12" s="90" customFormat="1" ht="24.75" customHeight="1">
      <c r="A1256" s="96"/>
      <c r="B1256" s="97" t="s">
        <v>104</v>
      </c>
      <c r="C1256" s="86" t="s">
        <v>227</v>
      </c>
      <c r="D1256" s="86" t="s">
        <v>844</v>
      </c>
      <c r="E1256" s="86" t="s">
        <v>303</v>
      </c>
      <c r="F1256" s="87" t="s">
        <v>304</v>
      </c>
      <c r="G1256" s="96">
        <v>94</v>
      </c>
      <c r="H1256" s="97" t="s">
        <v>105</v>
      </c>
      <c r="I1256" s="86" t="s">
        <v>227</v>
      </c>
      <c r="J1256" s="86" t="s">
        <v>844</v>
      </c>
      <c r="K1256" s="86" t="s">
        <v>303</v>
      </c>
      <c r="L1256" s="87" t="s">
        <v>304</v>
      </c>
    </row>
    <row r="1257" spans="1:12" s="90" customFormat="1" ht="12.75" customHeight="1">
      <c r="A1257" s="99" t="s">
        <v>23</v>
      </c>
      <c r="B1257" s="100" t="s">
        <v>108</v>
      </c>
      <c r="C1257" s="101"/>
      <c r="D1257" s="101"/>
      <c r="E1257" s="101"/>
      <c r="F1257" s="102"/>
      <c r="G1257" s="99" t="s">
        <v>23</v>
      </c>
      <c r="H1257" s="100" t="s">
        <v>129</v>
      </c>
      <c r="I1257" s="101">
        <f>SUM(I1258:I1262)</f>
        <v>2983082</v>
      </c>
      <c r="J1257" s="101">
        <f>SUM(J1258:J1262)</f>
        <v>2983082</v>
      </c>
      <c r="K1257" s="101">
        <f>SUM(K1258:K1262)</f>
        <v>0</v>
      </c>
      <c r="L1257" s="102">
        <f>+K1257/J1257</f>
        <v>0</v>
      </c>
    </row>
    <row r="1258" spans="1:12" s="90" customFormat="1" ht="12.75" customHeight="1">
      <c r="A1258" s="99" t="s">
        <v>111</v>
      </c>
      <c r="B1258" s="116" t="s">
        <v>209</v>
      </c>
      <c r="C1258" s="106"/>
      <c r="D1258" s="106"/>
      <c r="E1258" s="106"/>
      <c r="F1258" s="599"/>
      <c r="G1258" s="99" t="s">
        <v>111</v>
      </c>
      <c r="H1258" s="116" t="s">
        <v>80</v>
      </c>
      <c r="I1258" s="106">
        <v>661879</v>
      </c>
      <c r="J1258" s="106">
        <v>661879</v>
      </c>
      <c r="K1258" s="106">
        <v>0</v>
      </c>
      <c r="L1258" s="599">
        <f>+K1258/J1258</f>
        <v>0</v>
      </c>
    </row>
    <row r="1259" spans="1:12" s="90" customFormat="1" ht="12.75" customHeight="1">
      <c r="A1259" s="99"/>
      <c r="B1259" s="116" t="s">
        <v>210</v>
      </c>
      <c r="C1259" s="106"/>
      <c r="D1259" s="106"/>
      <c r="E1259" s="106"/>
      <c r="F1259" s="599"/>
      <c r="G1259" s="99" t="s">
        <v>112</v>
      </c>
      <c r="H1259" s="116" t="s">
        <v>147</v>
      </c>
      <c r="I1259" s="106">
        <v>201537</v>
      </c>
      <c r="J1259" s="106">
        <v>201537</v>
      </c>
      <c r="K1259" s="106">
        <v>0</v>
      </c>
      <c r="L1259" s="599">
        <f>+K1259/J1259</f>
        <v>0</v>
      </c>
    </row>
    <row r="1260" spans="1:12" s="90" customFormat="1" ht="12.75" customHeight="1">
      <c r="A1260" s="99" t="s">
        <v>112</v>
      </c>
      <c r="B1260" s="116" t="s">
        <v>9</v>
      </c>
      <c r="C1260" s="106"/>
      <c r="D1260" s="106"/>
      <c r="E1260" s="106"/>
      <c r="F1260" s="599"/>
      <c r="G1260" s="99" t="s">
        <v>113</v>
      </c>
      <c r="H1260" s="116" t="s">
        <v>83</v>
      </c>
      <c r="I1260" s="106">
        <f>992000+1016000+116492-4826</f>
        <v>2119666</v>
      </c>
      <c r="J1260" s="106">
        <f>992000+1016000+116492-4826</f>
        <v>2119666</v>
      </c>
      <c r="K1260" s="106">
        <v>0</v>
      </c>
      <c r="L1260" s="599">
        <f>+K1260/J1260+IF(L1260=0/0,0%)</f>
        <v>0</v>
      </c>
    </row>
    <row r="1261" spans="1:12" s="90" customFormat="1" ht="12.75" customHeight="1">
      <c r="A1261" s="99" t="s">
        <v>113</v>
      </c>
      <c r="B1261" s="116" t="s">
        <v>170</v>
      </c>
      <c r="C1261" s="106"/>
      <c r="D1261" s="106"/>
      <c r="E1261" s="106"/>
      <c r="F1261" s="599"/>
      <c r="G1261" s="99" t="s">
        <v>114</v>
      </c>
      <c r="H1261" s="116" t="s">
        <v>84</v>
      </c>
      <c r="I1261" s="106"/>
      <c r="J1261" s="106"/>
      <c r="K1261" s="106"/>
      <c r="L1261" s="599"/>
    </row>
    <row r="1262" spans="1:12" s="90" customFormat="1" ht="12.75" customHeight="1">
      <c r="A1262" s="99" t="s">
        <v>114</v>
      </c>
      <c r="B1262" s="116" t="s">
        <v>181</v>
      </c>
      <c r="C1262" s="106"/>
      <c r="D1262" s="106"/>
      <c r="E1262" s="106"/>
      <c r="F1262" s="599"/>
      <c r="G1262" s="99" t="s">
        <v>115</v>
      </c>
      <c r="H1262" s="116" t="s">
        <v>211</v>
      </c>
      <c r="I1262" s="106"/>
      <c r="J1262" s="106"/>
      <c r="K1262" s="106"/>
      <c r="L1262" s="599"/>
    </row>
    <row r="1263" spans="1:12" s="90" customFormat="1" ht="12.75" customHeight="1">
      <c r="A1263" s="112" t="s">
        <v>45</v>
      </c>
      <c r="B1263" s="100" t="s">
        <v>118</v>
      </c>
      <c r="C1263" s="101"/>
      <c r="D1263" s="101"/>
      <c r="E1263" s="101"/>
      <c r="F1263" s="102"/>
      <c r="G1263" s="112" t="s">
        <v>45</v>
      </c>
      <c r="H1263" s="100" t="s">
        <v>130</v>
      </c>
      <c r="I1263" s="101"/>
      <c r="J1263" s="101"/>
      <c r="K1263" s="101"/>
      <c r="L1263" s="102"/>
    </row>
    <row r="1264" spans="1:12" s="90" customFormat="1" ht="12.75" customHeight="1">
      <c r="A1264" s="112" t="s">
        <v>111</v>
      </c>
      <c r="B1264" s="100" t="s">
        <v>106</v>
      </c>
      <c r="C1264" s="106"/>
      <c r="D1264" s="106"/>
      <c r="E1264" s="106"/>
      <c r="F1264" s="599"/>
      <c r="G1264" s="112" t="s">
        <v>111</v>
      </c>
      <c r="H1264" s="100" t="s">
        <v>131</v>
      </c>
      <c r="I1264" s="106"/>
      <c r="J1264" s="106"/>
      <c r="K1264" s="106"/>
      <c r="L1264" s="599"/>
    </row>
    <row r="1265" spans="1:12" s="90" customFormat="1" ht="12.75" customHeight="1">
      <c r="A1265" s="112" t="s">
        <v>112</v>
      </c>
      <c r="B1265" s="100" t="s">
        <v>39</v>
      </c>
      <c r="C1265" s="106"/>
      <c r="D1265" s="106"/>
      <c r="E1265" s="106"/>
      <c r="F1265" s="599"/>
      <c r="G1265" s="112" t="s">
        <v>112</v>
      </c>
      <c r="H1265" s="100" t="s">
        <v>87</v>
      </c>
      <c r="I1265" s="106"/>
      <c r="J1265" s="106"/>
      <c r="K1265" s="106"/>
      <c r="L1265" s="599"/>
    </row>
    <row r="1266" spans="1:12" s="90" customFormat="1" ht="12.75" customHeight="1">
      <c r="A1266" s="112" t="s">
        <v>113</v>
      </c>
      <c r="B1266" s="100" t="s">
        <v>201</v>
      </c>
      <c r="C1266" s="106"/>
      <c r="D1266" s="106"/>
      <c r="E1266" s="106"/>
      <c r="F1266" s="599"/>
      <c r="G1266" s="112" t="s">
        <v>113</v>
      </c>
      <c r="H1266" s="100" t="s">
        <v>90</v>
      </c>
      <c r="I1266" s="106"/>
      <c r="J1266" s="106"/>
      <c r="K1266" s="106"/>
      <c r="L1266" s="599"/>
    </row>
    <row r="1267" spans="1:12" s="90" customFormat="1" ht="12.75" customHeight="1">
      <c r="A1267" s="112" t="s">
        <v>56</v>
      </c>
      <c r="B1267" s="100" t="s">
        <v>126</v>
      </c>
      <c r="C1267" s="101">
        <v>2983082</v>
      </c>
      <c r="D1267" s="101">
        <v>2983082</v>
      </c>
      <c r="E1267" s="101">
        <v>2983082</v>
      </c>
      <c r="F1267" s="102">
        <f>+E1267/D1267</f>
        <v>1</v>
      </c>
      <c r="G1267" s="112" t="s">
        <v>56</v>
      </c>
      <c r="H1267" s="100" t="s">
        <v>132</v>
      </c>
      <c r="I1267" s="101"/>
      <c r="J1267" s="101"/>
      <c r="K1267" s="101"/>
      <c r="L1267" s="102"/>
    </row>
    <row r="1268" spans="1:12" s="90" customFormat="1" ht="12.75" customHeight="1">
      <c r="A1268" s="99" t="s">
        <v>64</v>
      </c>
      <c r="B1268" s="116" t="s">
        <v>127</v>
      </c>
      <c r="C1268" s="101"/>
      <c r="D1268" s="101"/>
      <c r="E1268" s="101"/>
      <c r="F1268" s="102"/>
      <c r="G1268" s="99" t="s">
        <v>64</v>
      </c>
      <c r="H1268" s="116" t="s">
        <v>133</v>
      </c>
      <c r="I1268" s="101"/>
      <c r="J1268" s="101"/>
      <c r="K1268" s="101"/>
      <c r="L1268" s="102"/>
    </row>
    <row r="1269" spans="1:12" s="124" customFormat="1" ht="12.75" customHeight="1" thickBot="1">
      <c r="A1269" s="117"/>
      <c r="B1269" s="118" t="s">
        <v>148</v>
      </c>
      <c r="C1269" s="88">
        <f>+C1257+C1263+C1267+C1268</f>
        <v>2983082</v>
      </c>
      <c r="D1269" s="88">
        <f>+D1257+D1263+D1267+D1268</f>
        <v>2983082</v>
      </c>
      <c r="E1269" s="88">
        <f>+E1257+E1263+E1267+E1268</f>
        <v>2983082</v>
      </c>
      <c r="F1269" s="119">
        <f>+E1269/D1269</f>
        <v>1</v>
      </c>
      <c r="G1269" s="117"/>
      <c r="H1269" s="118" t="s">
        <v>149</v>
      </c>
      <c r="I1269" s="88">
        <f>I1257+I1263+I1267+I1268</f>
        <v>2983082</v>
      </c>
      <c r="J1269" s="88">
        <f>J1257+J1263+J1267+J1268</f>
        <v>2983082</v>
      </c>
      <c r="K1269" s="88">
        <f>K1257+K1263+K1267+K1268</f>
        <v>0</v>
      </c>
      <c r="L1269" s="119">
        <f>+K1269/J1269</f>
        <v>0</v>
      </c>
    </row>
    <row r="1270" spans="1:12" s="126" customFormat="1" ht="12.75" customHeight="1">
      <c r="A1270" s="124"/>
      <c r="B1270" s="124"/>
      <c r="C1270" s="93"/>
      <c r="D1270" s="93"/>
      <c r="E1270" s="93"/>
      <c r="F1270" s="93"/>
      <c r="G1270" s="124"/>
      <c r="H1270" s="124"/>
      <c r="I1270" s="93"/>
      <c r="J1270" s="93"/>
      <c r="K1270" s="93"/>
      <c r="L1270" s="93"/>
    </row>
    <row r="1271" spans="1:12" s="90" customFormat="1" ht="12.75" customHeight="1" thickBot="1">
      <c r="A1271" s="90" t="s">
        <v>817</v>
      </c>
      <c r="B1271" s="124"/>
      <c r="C1271" s="93"/>
      <c r="D1271" s="93"/>
      <c r="E1271" s="93"/>
      <c r="F1271" s="93"/>
      <c r="G1271" s="124"/>
      <c r="H1271" s="124"/>
      <c r="I1271" s="595"/>
      <c r="J1271" s="595"/>
      <c r="K1271" s="93"/>
      <c r="L1271" s="596" t="s">
        <v>216</v>
      </c>
    </row>
    <row r="1272" spans="1:12" s="90" customFormat="1" ht="24.75" customHeight="1">
      <c r="A1272" s="96"/>
      <c r="B1272" s="97" t="s">
        <v>104</v>
      </c>
      <c r="C1272" s="86" t="s">
        <v>227</v>
      </c>
      <c r="D1272" s="86" t="s">
        <v>844</v>
      </c>
      <c r="E1272" s="86" t="s">
        <v>303</v>
      </c>
      <c r="F1272" s="87" t="s">
        <v>304</v>
      </c>
      <c r="G1272" s="96">
        <v>95</v>
      </c>
      <c r="H1272" s="97" t="s">
        <v>105</v>
      </c>
      <c r="I1272" s="86" t="s">
        <v>227</v>
      </c>
      <c r="J1272" s="86" t="s">
        <v>844</v>
      </c>
      <c r="K1272" s="86" t="s">
        <v>303</v>
      </c>
      <c r="L1272" s="87" t="s">
        <v>304</v>
      </c>
    </row>
    <row r="1273" spans="1:12" s="90" customFormat="1" ht="12.75" customHeight="1">
      <c r="A1273" s="99" t="s">
        <v>23</v>
      </c>
      <c r="B1273" s="100" t="s">
        <v>108</v>
      </c>
      <c r="C1273" s="101"/>
      <c r="D1273" s="101"/>
      <c r="E1273" s="101"/>
      <c r="F1273" s="102"/>
      <c r="G1273" s="99" t="s">
        <v>23</v>
      </c>
      <c r="H1273" s="100" t="s">
        <v>129</v>
      </c>
      <c r="I1273" s="101">
        <f>SUM(I1274:I1278)</f>
        <v>54474</v>
      </c>
      <c r="J1273" s="101">
        <f>SUM(J1274:J1278)</f>
        <v>54474</v>
      </c>
      <c r="K1273" s="101">
        <f>SUM(K1274:K1278)</f>
        <v>0</v>
      </c>
      <c r="L1273" s="102">
        <f>+K1273/J1273</f>
        <v>0</v>
      </c>
    </row>
    <row r="1274" spans="1:12" s="90" customFormat="1" ht="12.75" customHeight="1">
      <c r="A1274" s="99" t="s">
        <v>111</v>
      </c>
      <c r="B1274" s="116" t="s">
        <v>209</v>
      </c>
      <c r="C1274" s="106"/>
      <c r="D1274" s="106"/>
      <c r="E1274" s="106"/>
      <c r="F1274" s="599"/>
      <c r="G1274" s="99" t="s">
        <v>111</v>
      </c>
      <c r="H1274" s="116" t="s">
        <v>80</v>
      </c>
      <c r="I1274" s="106"/>
      <c r="J1274" s="106"/>
      <c r="K1274" s="106"/>
      <c r="L1274" s="599"/>
    </row>
    <row r="1275" spans="1:12" s="90" customFormat="1" ht="12.75" customHeight="1">
      <c r="A1275" s="99"/>
      <c r="B1275" s="116" t="s">
        <v>210</v>
      </c>
      <c r="C1275" s="106"/>
      <c r="D1275" s="106"/>
      <c r="E1275" s="106"/>
      <c r="F1275" s="599"/>
      <c r="G1275" s="99" t="s">
        <v>112</v>
      </c>
      <c r="H1275" s="116" t="s">
        <v>147</v>
      </c>
      <c r="I1275" s="106"/>
      <c r="J1275" s="106"/>
      <c r="K1275" s="106"/>
      <c r="L1275" s="599"/>
    </row>
    <row r="1276" spans="1:12" s="90" customFormat="1" ht="12.75" customHeight="1">
      <c r="A1276" s="99" t="s">
        <v>112</v>
      </c>
      <c r="B1276" s="116" t="s">
        <v>9</v>
      </c>
      <c r="C1276" s="106"/>
      <c r="D1276" s="106"/>
      <c r="E1276" s="106"/>
      <c r="F1276" s="599"/>
      <c r="G1276" s="99" t="s">
        <v>113</v>
      </c>
      <c r="H1276" s="116" t="s">
        <v>83</v>
      </c>
      <c r="I1276" s="106"/>
      <c r="J1276" s="106"/>
      <c r="K1276" s="106"/>
      <c r="L1276" s="599"/>
    </row>
    <row r="1277" spans="1:12" s="90" customFormat="1" ht="12.75" customHeight="1">
      <c r="A1277" s="99" t="s">
        <v>113</v>
      </c>
      <c r="B1277" s="116" t="s">
        <v>170</v>
      </c>
      <c r="C1277" s="106"/>
      <c r="D1277" s="106"/>
      <c r="E1277" s="106"/>
      <c r="F1277" s="599"/>
      <c r="G1277" s="99" t="s">
        <v>114</v>
      </c>
      <c r="H1277" s="116" t="s">
        <v>84</v>
      </c>
      <c r="I1277" s="106"/>
      <c r="J1277" s="106"/>
      <c r="K1277" s="106"/>
      <c r="L1277" s="599"/>
    </row>
    <row r="1278" spans="1:12" s="90" customFormat="1" ht="12.75" customHeight="1">
      <c r="A1278" s="99" t="s">
        <v>114</v>
      </c>
      <c r="B1278" s="116" t="s">
        <v>181</v>
      </c>
      <c r="C1278" s="106"/>
      <c r="D1278" s="106"/>
      <c r="E1278" s="106"/>
      <c r="F1278" s="599"/>
      <c r="G1278" s="99" t="s">
        <v>115</v>
      </c>
      <c r="H1278" s="116" t="s">
        <v>211</v>
      </c>
      <c r="I1278" s="106">
        <v>54474</v>
      </c>
      <c r="J1278" s="106">
        <v>54474</v>
      </c>
      <c r="K1278" s="106">
        <v>0</v>
      </c>
      <c r="L1278" s="599">
        <f>+K1278/J1278</f>
        <v>0</v>
      </c>
    </row>
    <row r="1279" spans="1:12" s="90" customFormat="1" ht="12.75" customHeight="1">
      <c r="A1279" s="112" t="s">
        <v>45</v>
      </c>
      <c r="B1279" s="100" t="s">
        <v>118</v>
      </c>
      <c r="C1279" s="101"/>
      <c r="D1279" s="101"/>
      <c r="E1279" s="101"/>
      <c r="F1279" s="102"/>
      <c r="G1279" s="112" t="s">
        <v>45</v>
      </c>
      <c r="H1279" s="100" t="s">
        <v>130</v>
      </c>
      <c r="I1279" s="101"/>
      <c r="J1279" s="101"/>
      <c r="K1279" s="101"/>
      <c r="L1279" s="102"/>
    </row>
    <row r="1280" spans="1:12" s="90" customFormat="1" ht="12.75" customHeight="1">
      <c r="A1280" s="112" t="s">
        <v>111</v>
      </c>
      <c r="B1280" s="100" t="s">
        <v>106</v>
      </c>
      <c r="C1280" s="106"/>
      <c r="D1280" s="106"/>
      <c r="E1280" s="106"/>
      <c r="F1280" s="599"/>
      <c r="G1280" s="112" t="s">
        <v>111</v>
      </c>
      <c r="H1280" s="100" t="s">
        <v>131</v>
      </c>
      <c r="I1280" s="106"/>
      <c r="J1280" s="106"/>
      <c r="K1280" s="106"/>
      <c r="L1280" s="599"/>
    </row>
    <row r="1281" spans="1:12" s="90" customFormat="1" ht="12.75" customHeight="1">
      <c r="A1281" s="112" t="s">
        <v>112</v>
      </c>
      <c r="B1281" s="100" t="s">
        <v>39</v>
      </c>
      <c r="C1281" s="106"/>
      <c r="D1281" s="106"/>
      <c r="E1281" s="106"/>
      <c r="F1281" s="599"/>
      <c r="G1281" s="112" t="s">
        <v>112</v>
      </c>
      <c r="H1281" s="100" t="s">
        <v>87</v>
      </c>
      <c r="I1281" s="106"/>
      <c r="J1281" s="106"/>
      <c r="K1281" s="106"/>
      <c r="L1281" s="599"/>
    </row>
    <row r="1282" spans="1:12" s="90" customFormat="1" ht="12.75" customHeight="1">
      <c r="A1282" s="112" t="s">
        <v>113</v>
      </c>
      <c r="B1282" s="100" t="s">
        <v>201</v>
      </c>
      <c r="C1282" s="106"/>
      <c r="D1282" s="106"/>
      <c r="E1282" s="106"/>
      <c r="F1282" s="599"/>
      <c r="G1282" s="112" t="s">
        <v>113</v>
      </c>
      <c r="H1282" s="100" t="s">
        <v>90</v>
      </c>
      <c r="I1282" s="106"/>
      <c r="J1282" s="106"/>
      <c r="K1282" s="106"/>
      <c r="L1282" s="599"/>
    </row>
    <row r="1283" spans="1:12" s="90" customFormat="1" ht="12.75" customHeight="1">
      <c r="A1283" s="112" t="s">
        <v>56</v>
      </c>
      <c r="B1283" s="100" t="s">
        <v>126</v>
      </c>
      <c r="C1283" s="101">
        <v>54474</v>
      </c>
      <c r="D1283" s="101">
        <v>54474</v>
      </c>
      <c r="E1283" s="101">
        <v>54474</v>
      </c>
      <c r="F1283" s="102">
        <f>+E1283/D1283</f>
        <v>1</v>
      </c>
      <c r="G1283" s="112" t="s">
        <v>56</v>
      </c>
      <c r="H1283" s="100" t="s">
        <v>132</v>
      </c>
      <c r="I1283" s="101"/>
      <c r="J1283" s="101"/>
      <c r="K1283" s="101"/>
      <c r="L1283" s="102"/>
    </row>
    <row r="1284" spans="1:12" s="90" customFormat="1" ht="12.75" customHeight="1">
      <c r="A1284" s="99" t="s">
        <v>64</v>
      </c>
      <c r="B1284" s="116" t="s">
        <v>127</v>
      </c>
      <c r="C1284" s="101"/>
      <c r="D1284" s="101"/>
      <c r="E1284" s="101"/>
      <c r="F1284" s="102"/>
      <c r="G1284" s="99" t="s">
        <v>64</v>
      </c>
      <c r="H1284" s="116" t="s">
        <v>133</v>
      </c>
      <c r="I1284" s="101"/>
      <c r="J1284" s="101"/>
      <c r="K1284" s="101"/>
      <c r="L1284" s="102"/>
    </row>
    <row r="1285" spans="1:12" s="124" customFormat="1" ht="12.75" customHeight="1" thickBot="1">
      <c r="A1285" s="117"/>
      <c r="B1285" s="118" t="s">
        <v>148</v>
      </c>
      <c r="C1285" s="88">
        <f>+C1273+C1279+C1283+C1284</f>
        <v>54474</v>
      </c>
      <c r="D1285" s="88">
        <f>+D1273+D1279+D1283+D1284</f>
        <v>54474</v>
      </c>
      <c r="E1285" s="88">
        <f>+E1273+E1279+E1283+E1284</f>
        <v>54474</v>
      </c>
      <c r="F1285" s="119">
        <f>+E1285/D1285</f>
        <v>1</v>
      </c>
      <c r="G1285" s="117"/>
      <c r="H1285" s="118" t="s">
        <v>149</v>
      </c>
      <c r="I1285" s="88">
        <f>I1273+I1279+I1283+I1284</f>
        <v>54474</v>
      </c>
      <c r="J1285" s="88">
        <f>J1273+J1279+J1283+J1284</f>
        <v>54474</v>
      </c>
      <c r="K1285" s="88">
        <f>K1273+K1279+K1283+K1284</f>
        <v>0</v>
      </c>
      <c r="L1285" s="119">
        <f>+K1285/J1285</f>
        <v>0</v>
      </c>
    </row>
    <row r="1286" spans="1:12" s="126" customFormat="1" ht="12.75" customHeight="1">
      <c r="A1286" s="124"/>
      <c r="B1286" s="124"/>
      <c r="C1286" s="93"/>
      <c r="D1286" s="93"/>
      <c r="E1286" s="93"/>
      <c r="F1286" s="93"/>
      <c r="G1286" s="124"/>
      <c r="H1286" s="124"/>
      <c r="I1286" s="93"/>
      <c r="J1286" s="93"/>
      <c r="K1286" s="93"/>
      <c r="L1286" s="93"/>
    </row>
    <row r="1287" spans="1:12" s="90" customFormat="1" ht="12.75" customHeight="1" thickBot="1">
      <c r="A1287" s="90" t="s">
        <v>818</v>
      </c>
      <c r="B1287" s="124"/>
      <c r="C1287" s="93"/>
      <c r="D1287" s="93"/>
      <c r="E1287" s="93"/>
      <c r="F1287" s="93"/>
      <c r="G1287" s="124"/>
      <c r="H1287" s="124"/>
      <c r="I1287" s="595"/>
      <c r="J1287" s="595"/>
      <c r="K1287" s="93"/>
      <c r="L1287" s="596" t="s">
        <v>216</v>
      </c>
    </row>
    <row r="1288" spans="1:12" s="90" customFormat="1" ht="24.75" customHeight="1">
      <c r="A1288" s="96"/>
      <c r="B1288" s="97" t="s">
        <v>104</v>
      </c>
      <c r="C1288" s="86" t="s">
        <v>227</v>
      </c>
      <c r="D1288" s="86" t="s">
        <v>844</v>
      </c>
      <c r="E1288" s="86" t="s">
        <v>303</v>
      </c>
      <c r="F1288" s="87" t="s">
        <v>304</v>
      </c>
      <c r="G1288" s="96">
        <v>111</v>
      </c>
      <c r="H1288" s="97" t="s">
        <v>105</v>
      </c>
      <c r="I1288" s="86" t="s">
        <v>227</v>
      </c>
      <c r="J1288" s="86" t="s">
        <v>844</v>
      </c>
      <c r="K1288" s="86" t="s">
        <v>303</v>
      </c>
      <c r="L1288" s="87" t="s">
        <v>304</v>
      </c>
    </row>
    <row r="1289" spans="1:12" s="90" customFormat="1" ht="12.75" customHeight="1">
      <c r="A1289" s="99" t="s">
        <v>23</v>
      </c>
      <c r="B1289" s="100" t="s">
        <v>108</v>
      </c>
      <c r="C1289" s="101"/>
      <c r="D1289" s="101"/>
      <c r="E1289" s="101"/>
      <c r="F1289" s="102"/>
      <c r="G1289" s="99" t="s">
        <v>23</v>
      </c>
      <c r="H1289" s="100" t="s">
        <v>129</v>
      </c>
      <c r="I1289" s="101">
        <f>SUM(I1290:I1294)</f>
        <v>6299546</v>
      </c>
      <c r="J1289" s="101">
        <f>SUM(J1290:J1294)</f>
        <v>6299546</v>
      </c>
      <c r="K1289" s="101">
        <f>SUM(K1290:K1294)</f>
        <v>3361312</v>
      </c>
      <c r="L1289" s="102">
        <f>+K1289/J1289</f>
        <v>0.5335800389424888</v>
      </c>
    </row>
    <row r="1290" spans="1:12" s="90" customFormat="1" ht="12.75" customHeight="1">
      <c r="A1290" s="99" t="s">
        <v>111</v>
      </c>
      <c r="B1290" s="116" t="s">
        <v>209</v>
      </c>
      <c r="C1290" s="106"/>
      <c r="D1290" s="106"/>
      <c r="E1290" s="106"/>
      <c r="F1290" s="599"/>
      <c r="G1290" s="99" t="s">
        <v>111</v>
      </c>
      <c r="H1290" s="116" t="s">
        <v>80</v>
      </c>
      <c r="I1290" s="106">
        <v>2690005</v>
      </c>
      <c r="J1290" s="106">
        <v>2690005</v>
      </c>
      <c r="K1290" s="106">
        <v>1046577</v>
      </c>
      <c r="L1290" s="599">
        <f>+K1290/J1290</f>
        <v>0.38906135862201</v>
      </c>
    </row>
    <row r="1291" spans="1:12" s="90" customFormat="1" ht="12.75" customHeight="1">
      <c r="A1291" s="99"/>
      <c r="B1291" s="116" t="s">
        <v>210</v>
      </c>
      <c r="C1291" s="106"/>
      <c r="D1291" s="106"/>
      <c r="E1291" s="106"/>
      <c r="F1291" s="599"/>
      <c r="G1291" s="99" t="s">
        <v>112</v>
      </c>
      <c r="H1291" s="116" t="s">
        <v>147</v>
      </c>
      <c r="I1291" s="106">
        <v>529941</v>
      </c>
      <c r="J1291" s="106">
        <v>529941</v>
      </c>
      <c r="K1291" s="106">
        <v>167165</v>
      </c>
      <c r="L1291" s="599">
        <f>+K1291/J1291</f>
        <v>0.3154407754825537</v>
      </c>
    </row>
    <row r="1292" spans="1:12" s="90" customFormat="1" ht="12.75" customHeight="1">
      <c r="A1292" s="99" t="s">
        <v>112</v>
      </c>
      <c r="B1292" s="116" t="s">
        <v>9</v>
      </c>
      <c r="C1292" s="106"/>
      <c r="D1292" s="106"/>
      <c r="E1292" s="106"/>
      <c r="F1292" s="599"/>
      <c r="G1292" s="99" t="s">
        <v>113</v>
      </c>
      <c r="H1292" s="116" t="s">
        <v>83</v>
      </c>
      <c r="I1292" s="106">
        <v>3026260</v>
      </c>
      <c r="J1292" s="106">
        <v>3026260</v>
      </c>
      <c r="K1292" s="106">
        <v>2094230</v>
      </c>
      <c r="L1292" s="599">
        <f>+K1292/J1292</f>
        <v>0.6920191920059744</v>
      </c>
    </row>
    <row r="1293" spans="1:12" s="90" customFormat="1" ht="12.75" customHeight="1">
      <c r="A1293" s="99" t="s">
        <v>113</v>
      </c>
      <c r="B1293" s="116" t="s">
        <v>170</v>
      </c>
      <c r="C1293" s="106"/>
      <c r="D1293" s="106"/>
      <c r="E1293" s="106"/>
      <c r="F1293" s="599"/>
      <c r="G1293" s="99" t="s">
        <v>114</v>
      </c>
      <c r="H1293" s="116" t="s">
        <v>84</v>
      </c>
      <c r="I1293" s="106"/>
      <c r="J1293" s="106"/>
      <c r="K1293" s="106"/>
      <c r="L1293" s="599"/>
    </row>
    <row r="1294" spans="1:12" s="90" customFormat="1" ht="12.75" customHeight="1">
      <c r="A1294" s="99" t="s">
        <v>114</v>
      </c>
      <c r="B1294" s="116" t="s">
        <v>181</v>
      </c>
      <c r="C1294" s="106"/>
      <c r="D1294" s="106"/>
      <c r="E1294" s="106"/>
      <c r="F1294" s="599"/>
      <c r="G1294" s="99" t="s">
        <v>115</v>
      </c>
      <c r="H1294" s="116" t="s">
        <v>211</v>
      </c>
      <c r="I1294" s="106">
        <v>53340</v>
      </c>
      <c r="J1294" s="106">
        <v>53340</v>
      </c>
      <c r="K1294" s="106">
        <v>53340</v>
      </c>
      <c r="L1294" s="599">
        <f>+K1294/J1294</f>
        <v>1</v>
      </c>
    </row>
    <row r="1295" spans="1:12" s="90" customFormat="1" ht="12.75" customHeight="1">
      <c r="A1295" s="112" t="s">
        <v>45</v>
      </c>
      <c r="B1295" s="100" t="s">
        <v>118</v>
      </c>
      <c r="C1295" s="101"/>
      <c r="D1295" s="101"/>
      <c r="E1295" s="101"/>
      <c r="F1295" s="102"/>
      <c r="G1295" s="112" t="s">
        <v>45</v>
      </c>
      <c r="H1295" s="100" t="s">
        <v>130</v>
      </c>
      <c r="I1295" s="101"/>
      <c r="J1295" s="101"/>
      <c r="K1295" s="101"/>
      <c r="L1295" s="102"/>
    </row>
    <row r="1296" spans="1:12" s="90" customFormat="1" ht="12.75" customHeight="1">
      <c r="A1296" s="112" t="s">
        <v>111</v>
      </c>
      <c r="B1296" s="100" t="s">
        <v>106</v>
      </c>
      <c r="C1296" s="106"/>
      <c r="D1296" s="106"/>
      <c r="E1296" s="106"/>
      <c r="F1296" s="599"/>
      <c r="G1296" s="112" t="s">
        <v>111</v>
      </c>
      <c r="H1296" s="100" t="s">
        <v>131</v>
      </c>
      <c r="I1296" s="106"/>
      <c r="J1296" s="106"/>
      <c r="K1296" s="106"/>
      <c r="L1296" s="599"/>
    </row>
    <row r="1297" spans="1:12" s="90" customFormat="1" ht="12.75" customHeight="1">
      <c r="A1297" s="112" t="s">
        <v>112</v>
      </c>
      <c r="B1297" s="100" t="s">
        <v>39</v>
      </c>
      <c r="C1297" s="106"/>
      <c r="D1297" s="106"/>
      <c r="E1297" s="106"/>
      <c r="F1297" s="599"/>
      <c r="G1297" s="112" t="s">
        <v>112</v>
      </c>
      <c r="H1297" s="100" t="s">
        <v>87</v>
      </c>
      <c r="I1297" s="106"/>
      <c r="J1297" s="106"/>
      <c r="K1297" s="106"/>
      <c r="L1297" s="599"/>
    </row>
    <row r="1298" spans="1:12" s="90" customFormat="1" ht="12.75" customHeight="1">
      <c r="A1298" s="112" t="s">
        <v>113</v>
      </c>
      <c r="B1298" s="100" t="s">
        <v>201</v>
      </c>
      <c r="C1298" s="106"/>
      <c r="D1298" s="106"/>
      <c r="E1298" s="106"/>
      <c r="F1298" s="599"/>
      <c r="G1298" s="112" t="s">
        <v>113</v>
      </c>
      <c r="H1298" s="100" t="s">
        <v>90</v>
      </c>
      <c r="I1298" s="106"/>
      <c r="J1298" s="106"/>
      <c r="K1298" s="106"/>
      <c r="L1298" s="599"/>
    </row>
    <row r="1299" spans="1:12" s="90" customFormat="1" ht="12.75" customHeight="1">
      <c r="A1299" s="112" t="s">
        <v>56</v>
      </c>
      <c r="B1299" s="100" t="s">
        <v>126</v>
      </c>
      <c r="C1299" s="101">
        <v>6299546</v>
      </c>
      <c r="D1299" s="101">
        <v>6299546</v>
      </c>
      <c r="E1299" s="101">
        <v>6299546</v>
      </c>
      <c r="F1299" s="102">
        <f>+E1299/D1299</f>
        <v>1</v>
      </c>
      <c r="G1299" s="112" t="s">
        <v>56</v>
      </c>
      <c r="H1299" s="100" t="s">
        <v>132</v>
      </c>
      <c r="I1299" s="101"/>
      <c r="J1299" s="101"/>
      <c r="K1299" s="101"/>
      <c r="L1299" s="102"/>
    </row>
    <row r="1300" spans="1:12" s="90" customFormat="1" ht="12.75" customHeight="1">
      <c r="A1300" s="99" t="s">
        <v>64</v>
      </c>
      <c r="B1300" s="116" t="s">
        <v>127</v>
      </c>
      <c r="C1300" s="101"/>
      <c r="D1300" s="101"/>
      <c r="E1300" s="101"/>
      <c r="F1300" s="102"/>
      <c r="G1300" s="99" t="s">
        <v>64</v>
      </c>
      <c r="H1300" s="116" t="s">
        <v>133</v>
      </c>
      <c r="I1300" s="101"/>
      <c r="J1300" s="101"/>
      <c r="K1300" s="101"/>
      <c r="L1300" s="102"/>
    </row>
    <row r="1301" spans="1:12" s="124" customFormat="1" ht="12.75" customHeight="1" thickBot="1">
      <c r="A1301" s="117"/>
      <c r="B1301" s="118" t="s">
        <v>148</v>
      </c>
      <c r="C1301" s="88">
        <f>+C1289+C1295+C1299+C1300</f>
        <v>6299546</v>
      </c>
      <c r="D1301" s="88">
        <f>+D1289+D1295+D1299+D1300</f>
        <v>6299546</v>
      </c>
      <c r="E1301" s="88">
        <f>+E1289+E1295+E1299+E1300</f>
        <v>6299546</v>
      </c>
      <c r="F1301" s="119">
        <f>+E1301/D1301</f>
        <v>1</v>
      </c>
      <c r="G1301" s="117"/>
      <c r="H1301" s="118" t="s">
        <v>149</v>
      </c>
      <c r="I1301" s="88">
        <f>I1289+I1295+I1299+I1300</f>
        <v>6299546</v>
      </c>
      <c r="J1301" s="88">
        <f>J1289+J1295+J1299+J1300</f>
        <v>6299546</v>
      </c>
      <c r="K1301" s="88">
        <f>K1289+K1295+K1299+K1300</f>
        <v>3361312</v>
      </c>
      <c r="L1301" s="119">
        <f>+K1301/J1301</f>
        <v>0.5335800389424888</v>
      </c>
    </row>
    <row r="1302" spans="1:12" s="126" customFormat="1" ht="12.75" customHeight="1">
      <c r="A1302" s="124"/>
      <c r="B1302" s="124"/>
      <c r="C1302" s="93"/>
      <c r="D1302" s="93"/>
      <c r="E1302" s="93"/>
      <c r="F1302" s="93"/>
      <c r="G1302" s="124"/>
      <c r="H1302" s="124"/>
      <c r="I1302" s="93"/>
      <c r="J1302" s="93"/>
      <c r="K1302" s="93"/>
      <c r="L1302" s="93"/>
    </row>
    <row r="1303" spans="1:12" s="90" customFormat="1" ht="12.75" customHeight="1" thickBot="1">
      <c r="A1303" s="90" t="s">
        <v>819</v>
      </c>
      <c r="B1303" s="124"/>
      <c r="C1303" s="93"/>
      <c r="D1303" s="93"/>
      <c r="E1303" s="93"/>
      <c r="F1303" s="93"/>
      <c r="G1303" s="124"/>
      <c r="H1303" s="124"/>
      <c r="I1303" s="595"/>
      <c r="J1303" s="595"/>
      <c r="K1303" s="93"/>
      <c r="L1303" s="596" t="s">
        <v>216</v>
      </c>
    </row>
    <row r="1304" spans="1:12" s="90" customFormat="1" ht="24.75" customHeight="1">
      <c r="A1304" s="96"/>
      <c r="B1304" s="97" t="s">
        <v>104</v>
      </c>
      <c r="C1304" s="86" t="s">
        <v>227</v>
      </c>
      <c r="D1304" s="86" t="s">
        <v>844</v>
      </c>
      <c r="E1304" s="86" t="s">
        <v>303</v>
      </c>
      <c r="F1304" s="87" t="s">
        <v>304</v>
      </c>
      <c r="G1304" s="96">
        <v>110</v>
      </c>
      <c r="H1304" s="97" t="s">
        <v>105</v>
      </c>
      <c r="I1304" s="86" t="s">
        <v>227</v>
      </c>
      <c r="J1304" s="86" t="s">
        <v>844</v>
      </c>
      <c r="K1304" s="86" t="s">
        <v>303</v>
      </c>
      <c r="L1304" s="87" t="s">
        <v>304</v>
      </c>
    </row>
    <row r="1305" spans="1:12" s="90" customFormat="1" ht="12.75" customHeight="1">
      <c r="A1305" s="99" t="s">
        <v>23</v>
      </c>
      <c r="B1305" s="100" t="s">
        <v>108</v>
      </c>
      <c r="C1305" s="101"/>
      <c r="D1305" s="101"/>
      <c r="E1305" s="101"/>
      <c r="F1305" s="102"/>
      <c r="G1305" s="99" t="s">
        <v>23</v>
      </c>
      <c r="H1305" s="100" t="s">
        <v>129</v>
      </c>
      <c r="I1305" s="101">
        <f>SUM(I1306:I1310)</f>
        <v>306011</v>
      </c>
      <c r="J1305" s="101">
        <f>SUM(J1306:J1310)</f>
        <v>306011</v>
      </c>
      <c r="K1305" s="101">
        <f>SUM(K1306:K1310)</f>
        <v>143232</v>
      </c>
      <c r="L1305" s="102">
        <f>+K1305/J1305</f>
        <v>0.4680616056285558</v>
      </c>
    </row>
    <row r="1306" spans="1:12" s="90" customFormat="1" ht="12.75" customHeight="1">
      <c r="A1306" s="99" t="s">
        <v>111</v>
      </c>
      <c r="B1306" s="116" t="s">
        <v>209</v>
      </c>
      <c r="C1306" s="106"/>
      <c r="D1306" s="106"/>
      <c r="E1306" s="106"/>
      <c r="F1306" s="599"/>
      <c r="G1306" s="99" t="s">
        <v>111</v>
      </c>
      <c r="H1306" s="116" t="s">
        <v>80</v>
      </c>
      <c r="I1306" s="106">
        <v>121900</v>
      </c>
      <c r="J1306" s="106">
        <v>121900</v>
      </c>
      <c r="K1306" s="106">
        <v>121900</v>
      </c>
      <c r="L1306" s="599">
        <f>+K1306/J1306</f>
        <v>1</v>
      </c>
    </row>
    <row r="1307" spans="1:12" s="90" customFormat="1" ht="12.75" customHeight="1">
      <c r="A1307" s="99"/>
      <c r="B1307" s="116" t="s">
        <v>210</v>
      </c>
      <c r="C1307" s="106"/>
      <c r="D1307" s="106"/>
      <c r="E1307" s="106"/>
      <c r="F1307" s="599"/>
      <c r="G1307" s="99" t="s">
        <v>112</v>
      </c>
      <c r="H1307" s="116" t="s">
        <v>147</v>
      </c>
      <c r="I1307" s="106">
        <v>21332</v>
      </c>
      <c r="J1307" s="106">
        <v>21332</v>
      </c>
      <c r="K1307" s="106">
        <v>21332</v>
      </c>
      <c r="L1307" s="599">
        <f>+K1307/J1307</f>
        <v>1</v>
      </c>
    </row>
    <row r="1308" spans="1:12" s="90" customFormat="1" ht="12.75" customHeight="1">
      <c r="A1308" s="99" t="s">
        <v>112</v>
      </c>
      <c r="B1308" s="116" t="s">
        <v>9</v>
      </c>
      <c r="C1308" s="106"/>
      <c r="D1308" s="106"/>
      <c r="E1308" s="106"/>
      <c r="F1308" s="599"/>
      <c r="G1308" s="99" t="s">
        <v>113</v>
      </c>
      <c r="H1308" s="116" t="s">
        <v>83</v>
      </c>
      <c r="I1308" s="106">
        <v>162779</v>
      </c>
      <c r="J1308" s="106">
        <v>162779</v>
      </c>
      <c r="K1308" s="106">
        <v>0</v>
      </c>
      <c r="L1308" s="599">
        <f>+K1308/J1308</f>
        <v>0</v>
      </c>
    </row>
    <row r="1309" spans="1:12" s="90" customFormat="1" ht="12.75" customHeight="1">
      <c r="A1309" s="99" t="s">
        <v>113</v>
      </c>
      <c r="B1309" s="116" t="s">
        <v>170</v>
      </c>
      <c r="C1309" s="106"/>
      <c r="D1309" s="106"/>
      <c r="E1309" s="106"/>
      <c r="F1309" s="599"/>
      <c r="G1309" s="99" t="s">
        <v>114</v>
      </c>
      <c r="H1309" s="116" t="s">
        <v>84</v>
      </c>
      <c r="I1309" s="106"/>
      <c r="J1309" s="106"/>
      <c r="K1309" s="106"/>
      <c r="L1309" s="599"/>
    </row>
    <row r="1310" spans="1:12" s="90" customFormat="1" ht="12.75" customHeight="1">
      <c r="A1310" s="99" t="s">
        <v>114</v>
      </c>
      <c r="B1310" s="116" t="s">
        <v>181</v>
      </c>
      <c r="C1310" s="106"/>
      <c r="D1310" s="106"/>
      <c r="E1310" s="106"/>
      <c r="F1310" s="599"/>
      <c r="G1310" s="99" t="s">
        <v>115</v>
      </c>
      <c r="H1310" s="116" t="s">
        <v>211</v>
      </c>
      <c r="I1310" s="106"/>
      <c r="J1310" s="106"/>
      <c r="K1310" s="106"/>
      <c r="L1310" s="599"/>
    </row>
    <row r="1311" spans="1:12" s="90" customFormat="1" ht="12.75" customHeight="1">
      <c r="A1311" s="112" t="s">
        <v>45</v>
      </c>
      <c r="B1311" s="100" t="s">
        <v>118</v>
      </c>
      <c r="C1311" s="101"/>
      <c r="D1311" s="101"/>
      <c r="E1311" s="101"/>
      <c r="F1311" s="102"/>
      <c r="G1311" s="112" t="s">
        <v>45</v>
      </c>
      <c r="H1311" s="100" t="s">
        <v>130</v>
      </c>
      <c r="I1311" s="101"/>
      <c r="J1311" s="101"/>
      <c r="K1311" s="101"/>
      <c r="L1311" s="102"/>
    </row>
    <row r="1312" spans="1:12" s="90" customFormat="1" ht="12.75" customHeight="1">
      <c r="A1312" s="112" t="s">
        <v>111</v>
      </c>
      <c r="B1312" s="100" t="s">
        <v>106</v>
      </c>
      <c r="C1312" s="106"/>
      <c r="D1312" s="106"/>
      <c r="E1312" s="106"/>
      <c r="F1312" s="599"/>
      <c r="G1312" s="112" t="s">
        <v>111</v>
      </c>
      <c r="H1312" s="100" t="s">
        <v>131</v>
      </c>
      <c r="I1312" s="106"/>
      <c r="J1312" s="106"/>
      <c r="K1312" s="106"/>
      <c r="L1312" s="599"/>
    </row>
    <row r="1313" spans="1:12" s="90" customFormat="1" ht="12.75" customHeight="1">
      <c r="A1313" s="112" t="s">
        <v>112</v>
      </c>
      <c r="B1313" s="100" t="s">
        <v>39</v>
      </c>
      <c r="C1313" s="106"/>
      <c r="D1313" s="106"/>
      <c r="E1313" s="106"/>
      <c r="F1313" s="599"/>
      <c r="G1313" s="112" t="s">
        <v>112</v>
      </c>
      <c r="H1313" s="100" t="s">
        <v>87</v>
      </c>
      <c r="I1313" s="106"/>
      <c r="J1313" s="106"/>
      <c r="K1313" s="106"/>
      <c r="L1313" s="599"/>
    </row>
    <row r="1314" spans="1:12" s="90" customFormat="1" ht="12.75" customHeight="1">
      <c r="A1314" s="112" t="s">
        <v>113</v>
      </c>
      <c r="B1314" s="100" t="s">
        <v>201</v>
      </c>
      <c r="C1314" s="106"/>
      <c r="D1314" s="106"/>
      <c r="E1314" s="106"/>
      <c r="F1314" s="599"/>
      <c r="G1314" s="112" t="s">
        <v>113</v>
      </c>
      <c r="H1314" s="100" t="s">
        <v>90</v>
      </c>
      <c r="I1314" s="106"/>
      <c r="J1314" s="106"/>
      <c r="K1314" s="106"/>
      <c r="L1314" s="599"/>
    </row>
    <row r="1315" spans="1:12" s="90" customFormat="1" ht="12.75" customHeight="1">
      <c r="A1315" s="112" t="s">
        <v>56</v>
      </c>
      <c r="B1315" s="100" t="s">
        <v>126</v>
      </c>
      <c r="C1315" s="101">
        <v>306011</v>
      </c>
      <c r="D1315" s="101">
        <v>306011</v>
      </c>
      <c r="E1315" s="101">
        <v>306011</v>
      </c>
      <c r="F1315" s="102">
        <f>+E1315/D1315</f>
        <v>1</v>
      </c>
      <c r="G1315" s="112" t="s">
        <v>56</v>
      </c>
      <c r="H1315" s="100" t="s">
        <v>132</v>
      </c>
      <c r="I1315" s="101"/>
      <c r="J1315" s="101"/>
      <c r="K1315" s="101"/>
      <c r="L1315" s="102"/>
    </row>
    <row r="1316" spans="1:12" s="90" customFormat="1" ht="12.75" customHeight="1">
      <c r="A1316" s="99" t="s">
        <v>64</v>
      </c>
      <c r="B1316" s="116" t="s">
        <v>127</v>
      </c>
      <c r="C1316" s="101"/>
      <c r="D1316" s="101"/>
      <c r="E1316" s="101"/>
      <c r="F1316" s="102"/>
      <c r="G1316" s="99" t="s">
        <v>64</v>
      </c>
      <c r="H1316" s="116" t="s">
        <v>133</v>
      </c>
      <c r="I1316" s="101"/>
      <c r="J1316" s="101"/>
      <c r="K1316" s="101"/>
      <c r="L1316" s="102"/>
    </row>
    <row r="1317" spans="1:12" s="124" customFormat="1" ht="12.75" customHeight="1" thickBot="1">
      <c r="A1317" s="117"/>
      <c r="B1317" s="118" t="s">
        <v>148</v>
      </c>
      <c r="C1317" s="88">
        <f>+C1305+C1311+C1315+C1316</f>
        <v>306011</v>
      </c>
      <c r="D1317" s="88">
        <f>+D1305+D1311+D1315+D1316</f>
        <v>306011</v>
      </c>
      <c r="E1317" s="88">
        <f>+E1305+E1311+E1315+E1316</f>
        <v>306011</v>
      </c>
      <c r="F1317" s="119">
        <f>+E1317/D1317</f>
        <v>1</v>
      </c>
      <c r="G1317" s="117"/>
      <c r="H1317" s="118" t="s">
        <v>149</v>
      </c>
      <c r="I1317" s="88">
        <f>I1305+I1311+I1315+I1316</f>
        <v>306011</v>
      </c>
      <c r="J1317" s="88">
        <f>J1305+J1311+J1315+J1316</f>
        <v>306011</v>
      </c>
      <c r="K1317" s="88">
        <f>K1305+K1311+K1315+K1316</f>
        <v>143232</v>
      </c>
      <c r="L1317" s="119">
        <f>+K1317/J1317</f>
        <v>0.4680616056285558</v>
      </c>
    </row>
    <row r="1318" spans="1:12" s="126" customFormat="1" ht="24" customHeight="1">
      <c r="A1318" s="124"/>
      <c r="B1318" s="124"/>
      <c r="C1318" s="93"/>
      <c r="D1318" s="93"/>
      <c r="E1318" s="639"/>
      <c r="F1318" s="639"/>
      <c r="G1318" s="124"/>
      <c r="H1318" s="124"/>
      <c r="I1318" s="93"/>
      <c r="J1318" s="93"/>
      <c r="K1318" s="639"/>
      <c r="L1318" s="639"/>
    </row>
    <row r="1319" spans="1:12" s="90" customFormat="1" ht="12.75" customHeight="1" thickBot="1">
      <c r="A1319" s="90" t="s">
        <v>781</v>
      </c>
      <c r="B1319" s="124"/>
      <c r="C1319" s="93"/>
      <c r="D1319" s="93"/>
      <c r="E1319" s="93"/>
      <c r="F1319" s="93"/>
      <c r="G1319" s="124"/>
      <c r="H1319" s="124"/>
      <c r="I1319" s="595"/>
      <c r="J1319" s="595"/>
      <c r="K1319" s="93"/>
      <c r="L1319" s="596" t="s">
        <v>216</v>
      </c>
    </row>
    <row r="1320" spans="1:12" s="90" customFormat="1" ht="24.75" customHeight="1">
      <c r="A1320" s="96"/>
      <c r="B1320" s="97" t="s">
        <v>104</v>
      </c>
      <c r="C1320" s="86" t="s">
        <v>227</v>
      </c>
      <c r="D1320" s="86" t="s">
        <v>844</v>
      </c>
      <c r="E1320" s="86" t="s">
        <v>303</v>
      </c>
      <c r="F1320" s="87" t="s">
        <v>304</v>
      </c>
      <c r="G1320" s="96">
        <v>96</v>
      </c>
      <c r="H1320" s="97" t="s">
        <v>105</v>
      </c>
      <c r="I1320" s="86" t="s">
        <v>227</v>
      </c>
      <c r="J1320" s="86" t="s">
        <v>844</v>
      </c>
      <c r="K1320" s="86" t="s">
        <v>303</v>
      </c>
      <c r="L1320" s="87" t="s">
        <v>304</v>
      </c>
    </row>
    <row r="1321" spans="1:12" s="90" customFormat="1" ht="12.75" customHeight="1">
      <c r="A1321" s="99" t="s">
        <v>23</v>
      </c>
      <c r="B1321" s="100" t="s">
        <v>108</v>
      </c>
      <c r="C1321" s="101">
        <f>+C1322+C1324+C1325+C1326</f>
        <v>881062</v>
      </c>
      <c r="D1321" s="101">
        <f>+D1322+D1324+D1325+D1326</f>
        <v>881062</v>
      </c>
      <c r="E1321" s="101">
        <f>+E1322+E1324+E1325+E1326</f>
        <v>0</v>
      </c>
      <c r="F1321" s="102">
        <f>+E1321/D1321</f>
        <v>0</v>
      </c>
      <c r="G1321" s="99" t="s">
        <v>23</v>
      </c>
      <c r="H1321" s="100" t="s">
        <v>129</v>
      </c>
      <c r="I1321" s="101">
        <f>SUM(I1322:I1326)</f>
        <v>1558924</v>
      </c>
      <c r="J1321" s="101">
        <f>SUM(J1322:J1326)</f>
        <v>1558924</v>
      </c>
      <c r="K1321" s="101">
        <f>SUM(K1322:K1326)</f>
        <v>453335</v>
      </c>
      <c r="L1321" s="102">
        <f>+K1321/J1321</f>
        <v>0.29079993636636553</v>
      </c>
    </row>
    <row r="1322" spans="1:12" s="90" customFormat="1" ht="12.75" customHeight="1">
      <c r="A1322" s="99" t="s">
        <v>111</v>
      </c>
      <c r="B1322" s="116" t="s">
        <v>209</v>
      </c>
      <c r="C1322" s="106">
        <f>C1323</f>
        <v>881062</v>
      </c>
      <c r="D1322" s="106">
        <f>D1323</f>
        <v>881062</v>
      </c>
      <c r="E1322" s="106">
        <v>0</v>
      </c>
      <c r="F1322" s="599">
        <f>+E1322/D1322</f>
        <v>0</v>
      </c>
      <c r="G1322" s="99" t="s">
        <v>111</v>
      </c>
      <c r="H1322" s="116" t="s">
        <v>80</v>
      </c>
      <c r="I1322" s="106">
        <f>1472992-204788</f>
        <v>1268204</v>
      </c>
      <c r="J1322" s="106">
        <f>1472992-204788</f>
        <v>1268204</v>
      </c>
      <c r="K1322" s="106">
        <v>385817</v>
      </c>
      <c r="L1322" s="599">
        <f>+K1322/J1322</f>
        <v>0.3042231376024677</v>
      </c>
    </row>
    <row r="1323" spans="1:12" s="90" customFormat="1" ht="12.75" customHeight="1">
      <c r="A1323" s="99"/>
      <c r="B1323" s="116" t="s">
        <v>210</v>
      </c>
      <c r="C1323" s="106">
        <v>881062</v>
      </c>
      <c r="D1323" s="106">
        <v>881062</v>
      </c>
      <c r="E1323" s="106">
        <v>0</v>
      </c>
      <c r="F1323" s="599">
        <f>+E1323/D1323</f>
        <v>0</v>
      </c>
      <c r="G1323" s="99" t="s">
        <v>112</v>
      </c>
      <c r="H1323" s="116" t="s">
        <v>147</v>
      </c>
      <c r="I1323" s="106">
        <v>290720</v>
      </c>
      <c r="J1323" s="106">
        <v>290720</v>
      </c>
      <c r="K1323" s="106">
        <v>67518</v>
      </c>
      <c r="L1323" s="599">
        <f>+K1323/J1323</f>
        <v>0.23224408365437535</v>
      </c>
    </row>
    <row r="1324" spans="1:12" s="90" customFormat="1" ht="12.75" customHeight="1">
      <c r="A1324" s="99" t="s">
        <v>112</v>
      </c>
      <c r="B1324" s="116" t="s">
        <v>9</v>
      </c>
      <c r="C1324" s="106"/>
      <c r="D1324" s="106"/>
      <c r="E1324" s="106"/>
      <c r="F1324" s="599"/>
      <c r="G1324" s="99" t="s">
        <v>113</v>
      </c>
      <c r="H1324" s="116" t="s">
        <v>83</v>
      </c>
      <c r="I1324" s="106"/>
      <c r="J1324" s="106"/>
      <c r="K1324" s="106"/>
      <c r="L1324" s="599"/>
    </row>
    <row r="1325" spans="1:12" s="90" customFormat="1" ht="12.75" customHeight="1">
      <c r="A1325" s="99" t="s">
        <v>113</v>
      </c>
      <c r="B1325" s="116" t="s">
        <v>170</v>
      </c>
      <c r="C1325" s="106"/>
      <c r="D1325" s="106"/>
      <c r="E1325" s="106"/>
      <c r="F1325" s="599"/>
      <c r="G1325" s="99" t="s">
        <v>114</v>
      </c>
      <c r="H1325" s="116" t="s">
        <v>84</v>
      </c>
      <c r="I1325" s="106"/>
      <c r="J1325" s="106"/>
      <c r="K1325" s="106"/>
      <c r="L1325" s="599"/>
    </row>
    <row r="1326" spans="1:12" s="90" customFormat="1" ht="12.75" customHeight="1">
      <c r="A1326" s="99" t="s">
        <v>114</v>
      </c>
      <c r="B1326" s="116" t="s">
        <v>181</v>
      </c>
      <c r="C1326" s="106"/>
      <c r="D1326" s="106"/>
      <c r="E1326" s="106"/>
      <c r="F1326" s="599"/>
      <c r="G1326" s="99" t="s">
        <v>115</v>
      </c>
      <c r="H1326" s="116" t="s">
        <v>211</v>
      </c>
      <c r="I1326" s="106"/>
      <c r="J1326" s="106"/>
      <c r="K1326" s="106"/>
      <c r="L1326" s="599"/>
    </row>
    <row r="1327" spans="1:12" s="90" customFormat="1" ht="12.75" customHeight="1">
      <c r="A1327" s="112" t="s">
        <v>45</v>
      </c>
      <c r="B1327" s="100" t="s">
        <v>118</v>
      </c>
      <c r="C1327" s="101"/>
      <c r="D1327" s="101"/>
      <c r="E1327" s="101"/>
      <c r="F1327" s="102"/>
      <c r="G1327" s="112" t="s">
        <v>45</v>
      </c>
      <c r="H1327" s="100" t="s">
        <v>130</v>
      </c>
      <c r="I1327" s="101"/>
      <c r="J1327" s="101"/>
      <c r="K1327" s="101"/>
      <c r="L1327" s="102"/>
    </row>
    <row r="1328" spans="1:12" s="90" customFormat="1" ht="12.75" customHeight="1">
      <c r="A1328" s="112" t="s">
        <v>111</v>
      </c>
      <c r="B1328" s="100" t="s">
        <v>106</v>
      </c>
      <c r="C1328" s="106"/>
      <c r="D1328" s="106"/>
      <c r="E1328" s="106"/>
      <c r="F1328" s="599"/>
      <c r="G1328" s="112" t="s">
        <v>111</v>
      </c>
      <c r="H1328" s="100" t="s">
        <v>131</v>
      </c>
      <c r="I1328" s="106"/>
      <c r="J1328" s="106"/>
      <c r="K1328" s="106"/>
      <c r="L1328" s="599"/>
    </row>
    <row r="1329" spans="1:12" s="90" customFormat="1" ht="12.75" customHeight="1">
      <c r="A1329" s="112" t="s">
        <v>112</v>
      </c>
      <c r="B1329" s="100" t="s">
        <v>39</v>
      </c>
      <c r="C1329" s="106"/>
      <c r="D1329" s="106"/>
      <c r="E1329" s="106"/>
      <c r="F1329" s="599"/>
      <c r="G1329" s="112" t="s">
        <v>112</v>
      </c>
      <c r="H1329" s="100" t="s">
        <v>87</v>
      </c>
      <c r="I1329" s="106"/>
      <c r="J1329" s="106"/>
      <c r="K1329" s="106"/>
      <c r="L1329" s="599"/>
    </row>
    <row r="1330" spans="1:12" s="90" customFormat="1" ht="12.75" customHeight="1">
      <c r="A1330" s="112" t="s">
        <v>113</v>
      </c>
      <c r="B1330" s="100" t="s">
        <v>201</v>
      </c>
      <c r="C1330" s="106"/>
      <c r="D1330" s="106"/>
      <c r="E1330" s="106"/>
      <c r="F1330" s="599"/>
      <c r="G1330" s="112" t="s">
        <v>113</v>
      </c>
      <c r="H1330" s="100" t="s">
        <v>90</v>
      </c>
      <c r="I1330" s="106"/>
      <c r="J1330" s="106"/>
      <c r="K1330" s="106"/>
      <c r="L1330" s="599"/>
    </row>
    <row r="1331" spans="1:12" s="90" customFormat="1" ht="12.75" customHeight="1">
      <c r="A1331" s="112" t="s">
        <v>56</v>
      </c>
      <c r="B1331" s="100" t="s">
        <v>126</v>
      </c>
      <c r="C1331" s="101">
        <v>677862</v>
      </c>
      <c r="D1331" s="101">
        <v>677862</v>
      </c>
      <c r="E1331" s="101">
        <v>677862</v>
      </c>
      <c r="F1331" s="102">
        <f>+E1331/D1331</f>
        <v>1</v>
      </c>
      <c r="G1331" s="112" t="s">
        <v>56</v>
      </c>
      <c r="H1331" s="100" t="s">
        <v>132</v>
      </c>
      <c r="I1331" s="101"/>
      <c r="J1331" s="101"/>
      <c r="K1331" s="101"/>
      <c r="L1331" s="102"/>
    </row>
    <row r="1332" spans="1:12" s="90" customFormat="1" ht="12.75" customHeight="1">
      <c r="A1332" s="99" t="s">
        <v>64</v>
      </c>
      <c r="B1332" s="116" t="s">
        <v>127</v>
      </c>
      <c r="C1332" s="101"/>
      <c r="D1332" s="101"/>
      <c r="E1332" s="101"/>
      <c r="F1332" s="102"/>
      <c r="G1332" s="99" t="s">
        <v>64</v>
      </c>
      <c r="H1332" s="116" t="s">
        <v>133</v>
      </c>
      <c r="I1332" s="101"/>
      <c r="J1332" s="101"/>
      <c r="K1332" s="101"/>
      <c r="L1332" s="102"/>
    </row>
    <row r="1333" spans="1:12" s="124" customFormat="1" ht="12.75" customHeight="1" thickBot="1">
      <c r="A1333" s="117"/>
      <c r="B1333" s="118" t="s">
        <v>148</v>
      </c>
      <c r="C1333" s="88">
        <f>+C1321+C1327+C1331+C1332</f>
        <v>1558924</v>
      </c>
      <c r="D1333" s="88">
        <f>+D1321+D1327+D1331+D1332</f>
        <v>1558924</v>
      </c>
      <c r="E1333" s="88">
        <f>+E1321+E1327+E1331+E1332</f>
        <v>677862</v>
      </c>
      <c r="F1333" s="119">
        <f>+E1333/D1333</f>
        <v>0.4348268421039127</v>
      </c>
      <c r="G1333" s="117"/>
      <c r="H1333" s="118" t="s">
        <v>149</v>
      </c>
      <c r="I1333" s="88">
        <f>I1321+I1327+I1331+I1332</f>
        <v>1558924</v>
      </c>
      <c r="J1333" s="88">
        <f>J1321+J1327+J1331+J1332</f>
        <v>1558924</v>
      </c>
      <c r="K1333" s="88">
        <f>K1321+K1327+K1331+K1332</f>
        <v>453335</v>
      </c>
      <c r="L1333" s="119">
        <f>+K1333/J1333</f>
        <v>0.29079993636636553</v>
      </c>
    </row>
    <row r="1334" spans="1:12" s="126" customFormat="1" ht="12.75" customHeight="1">
      <c r="A1334" s="124"/>
      <c r="B1334" s="124"/>
      <c r="C1334" s="93"/>
      <c r="D1334" s="93"/>
      <c r="E1334" s="595"/>
      <c r="F1334" s="595"/>
      <c r="G1334" s="124"/>
      <c r="H1334" s="124"/>
      <c r="I1334" s="93"/>
      <c r="J1334" s="93"/>
      <c r="K1334" s="595"/>
      <c r="L1334" s="595"/>
    </row>
    <row r="1335" spans="1:12" s="90" customFormat="1" ht="12.75" customHeight="1" thickBot="1">
      <c r="A1335" s="90" t="s">
        <v>820</v>
      </c>
      <c r="B1335" s="124"/>
      <c r="C1335" s="93"/>
      <c r="D1335" s="93"/>
      <c r="E1335" s="93"/>
      <c r="F1335" s="93"/>
      <c r="G1335" s="124"/>
      <c r="H1335" s="124"/>
      <c r="I1335" s="595"/>
      <c r="J1335" s="595"/>
      <c r="K1335" s="93"/>
      <c r="L1335" s="596" t="s">
        <v>216</v>
      </c>
    </row>
    <row r="1336" spans="1:12" s="90" customFormat="1" ht="24.75" customHeight="1">
      <c r="A1336" s="96"/>
      <c r="B1336" s="97" t="s">
        <v>104</v>
      </c>
      <c r="C1336" s="86" t="s">
        <v>227</v>
      </c>
      <c r="D1336" s="86" t="s">
        <v>844</v>
      </c>
      <c r="E1336" s="86" t="s">
        <v>303</v>
      </c>
      <c r="F1336" s="87" t="s">
        <v>304</v>
      </c>
      <c r="G1336" s="96">
        <v>97</v>
      </c>
      <c r="H1336" s="97" t="s">
        <v>105</v>
      </c>
      <c r="I1336" s="86" t="s">
        <v>227</v>
      </c>
      <c r="J1336" s="86" t="s">
        <v>844</v>
      </c>
      <c r="K1336" s="86" t="s">
        <v>303</v>
      </c>
      <c r="L1336" s="87" t="s">
        <v>304</v>
      </c>
    </row>
    <row r="1337" spans="1:12" s="90" customFormat="1" ht="12.75" customHeight="1">
      <c r="A1337" s="99" t="s">
        <v>23</v>
      </c>
      <c r="B1337" s="100" t="s">
        <v>108</v>
      </c>
      <c r="C1337" s="101">
        <f>+C1338+C1340+C1341+C1342</f>
        <v>3688892</v>
      </c>
      <c r="D1337" s="101">
        <f>+D1338+D1340+D1341+D1342</f>
        <v>3688892</v>
      </c>
      <c r="E1337" s="101">
        <f>+E1338+E1340+E1341+E1342</f>
        <v>0</v>
      </c>
      <c r="F1337" s="102">
        <f>E1337/D1337</f>
        <v>0</v>
      </c>
      <c r="G1337" s="99" t="s">
        <v>23</v>
      </c>
      <c r="H1337" s="100" t="s">
        <v>129</v>
      </c>
      <c r="I1337" s="101">
        <f>SUM(I1338:I1342)</f>
        <v>4722430</v>
      </c>
      <c r="J1337" s="101">
        <f>SUM(J1338:J1342)</f>
        <v>4722430</v>
      </c>
      <c r="K1337" s="101">
        <f>SUM(K1338:K1342)</f>
        <v>1972634</v>
      </c>
      <c r="L1337" s="102">
        <f>+K1337/J1337</f>
        <v>0.4177158793248391</v>
      </c>
    </row>
    <row r="1338" spans="1:12" s="90" customFormat="1" ht="12.75" customHeight="1">
      <c r="A1338" s="99" t="s">
        <v>111</v>
      </c>
      <c r="B1338" s="116" t="s">
        <v>209</v>
      </c>
      <c r="C1338" s="106">
        <f>C1339</f>
        <v>3688892</v>
      </c>
      <c r="D1338" s="106">
        <f>D1339</f>
        <v>3688892</v>
      </c>
      <c r="E1338" s="106">
        <f>E1339</f>
        <v>0</v>
      </c>
      <c r="F1338" s="599">
        <f>E1338/D1338</f>
        <v>0</v>
      </c>
      <c r="G1338" s="99" t="s">
        <v>111</v>
      </c>
      <c r="H1338" s="116" t="s">
        <v>80</v>
      </c>
      <c r="I1338" s="106">
        <v>1053331</v>
      </c>
      <c r="J1338" s="106">
        <v>1053331</v>
      </c>
      <c r="K1338" s="106">
        <v>685269</v>
      </c>
      <c r="L1338" s="599">
        <f aca="true" t="shared" si="7" ref="L1338:L1349">+K1338/J1338</f>
        <v>0.6505732765863722</v>
      </c>
    </row>
    <row r="1339" spans="1:12" s="90" customFormat="1" ht="12.75" customHeight="1">
      <c r="A1339" s="99"/>
      <c r="B1339" s="116" t="s">
        <v>210</v>
      </c>
      <c r="C1339" s="106">
        <v>3688892</v>
      </c>
      <c r="D1339" s="106">
        <v>3688892</v>
      </c>
      <c r="E1339" s="106">
        <v>0</v>
      </c>
      <c r="F1339" s="599">
        <f>E1339/D1339</f>
        <v>0</v>
      </c>
      <c r="G1339" s="99" t="s">
        <v>112</v>
      </c>
      <c r="H1339" s="116" t="s">
        <v>147</v>
      </c>
      <c r="I1339" s="106">
        <v>184333</v>
      </c>
      <c r="J1339" s="106">
        <v>184333</v>
      </c>
      <c r="K1339" s="106">
        <v>112615</v>
      </c>
      <c r="L1339" s="599">
        <f t="shared" si="7"/>
        <v>0.610932388666164</v>
      </c>
    </row>
    <row r="1340" spans="1:12" s="90" customFormat="1" ht="12.75" customHeight="1">
      <c r="A1340" s="99" t="s">
        <v>112</v>
      </c>
      <c r="B1340" s="116" t="s">
        <v>9</v>
      </c>
      <c r="C1340" s="106"/>
      <c r="D1340" s="106"/>
      <c r="E1340" s="106"/>
      <c r="F1340" s="599"/>
      <c r="G1340" s="99" t="s">
        <v>113</v>
      </c>
      <c r="H1340" s="116" t="s">
        <v>83</v>
      </c>
      <c r="I1340" s="106">
        <v>3484766</v>
      </c>
      <c r="J1340" s="106">
        <v>3484766</v>
      </c>
      <c r="K1340" s="106">
        <v>1174750</v>
      </c>
      <c r="L1340" s="599">
        <f t="shared" si="7"/>
        <v>0.3371101531637992</v>
      </c>
    </row>
    <row r="1341" spans="1:12" s="90" customFormat="1" ht="12.75" customHeight="1">
      <c r="A1341" s="99" t="s">
        <v>113</v>
      </c>
      <c r="B1341" s="116" t="s">
        <v>170</v>
      </c>
      <c r="C1341" s="106"/>
      <c r="D1341" s="106"/>
      <c r="E1341" s="106"/>
      <c r="F1341" s="599"/>
      <c r="G1341" s="99" t="s">
        <v>114</v>
      </c>
      <c r="H1341" s="116" t="s">
        <v>84</v>
      </c>
      <c r="I1341" s="106"/>
      <c r="J1341" s="106"/>
      <c r="K1341" s="106"/>
      <c r="L1341" s="599"/>
    </row>
    <row r="1342" spans="1:12" s="90" customFormat="1" ht="12.75" customHeight="1">
      <c r="A1342" s="99" t="s">
        <v>114</v>
      </c>
      <c r="B1342" s="116" t="s">
        <v>181</v>
      </c>
      <c r="C1342" s="106"/>
      <c r="D1342" s="106"/>
      <c r="E1342" s="106"/>
      <c r="F1342" s="599"/>
      <c r="G1342" s="99" t="s">
        <v>115</v>
      </c>
      <c r="H1342" s="116" t="s">
        <v>211</v>
      </c>
      <c r="I1342" s="106"/>
      <c r="J1342" s="106"/>
      <c r="K1342" s="106"/>
      <c r="L1342" s="599"/>
    </row>
    <row r="1343" spans="1:12" s="90" customFormat="1" ht="12.75" customHeight="1">
      <c r="A1343" s="112" t="s">
        <v>45</v>
      </c>
      <c r="B1343" s="100" t="s">
        <v>118</v>
      </c>
      <c r="C1343" s="101"/>
      <c r="D1343" s="101"/>
      <c r="E1343" s="101"/>
      <c r="F1343" s="102"/>
      <c r="G1343" s="112" t="s">
        <v>45</v>
      </c>
      <c r="H1343" s="100" t="s">
        <v>130</v>
      </c>
      <c r="I1343" s="101">
        <f>I1344+I1345+I1346</f>
        <v>1648000</v>
      </c>
      <c r="J1343" s="101">
        <f>J1344+J1345+J1346</f>
        <v>1648000</v>
      </c>
      <c r="K1343" s="101">
        <f>K1344+K1345+K1346</f>
        <v>1648000</v>
      </c>
      <c r="L1343" s="102">
        <f t="shared" si="7"/>
        <v>1</v>
      </c>
    </row>
    <row r="1344" spans="1:12" s="90" customFormat="1" ht="12.75" customHeight="1">
      <c r="A1344" s="112" t="s">
        <v>111</v>
      </c>
      <c r="B1344" s="100" t="s">
        <v>106</v>
      </c>
      <c r="C1344" s="106"/>
      <c r="D1344" s="106"/>
      <c r="E1344" s="106"/>
      <c r="F1344" s="599"/>
      <c r="G1344" s="112" t="s">
        <v>111</v>
      </c>
      <c r="H1344" s="100" t="s">
        <v>131</v>
      </c>
      <c r="I1344" s="106">
        <v>1648000</v>
      </c>
      <c r="J1344" s="106">
        <v>1648000</v>
      </c>
      <c r="K1344" s="106">
        <v>1648000</v>
      </c>
      <c r="L1344" s="599">
        <f t="shared" si="7"/>
        <v>1</v>
      </c>
    </row>
    <row r="1345" spans="1:12" s="90" customFormat="1" ht="12.75" customHeight="1">
      <c r="A1345" s="112" t="s">
        <v>112</v>
      </c>
      <c r="B1345" s="100" t="s">
        <v>39</v>
      </c>
      <c r="C1345" s="106"/>
      <c r="D1345" s="106"/>
      <c r="E1345" s="106"/>
      <c r="F1345" s="599"/>
      <c r="G1345" s="112" t="s">
        <v>112</v>
      </c>
      <c r="H1345" s="100" t="s">
        <v>87</v>
      </c>
      <c r="I1345" s="106"/>
      <c r="J1345" s="106"/>
      <c r="K1345" s="106"/>
      <c r="L1345" s="599"/>
    </row>
    <row r="1346" spans="1:12" s="90" customFormat="1" ht="12.75" customHeight="1">
      <c r="A1346" s="112" t="s">
        <v>113</v>
      </c>
      <c r="B1346" s="100" t="s">
        <v>201</v>
      </c>
      <c r="C1346" s="106"/>
      <c r="D1346" s="106"/>
      <c r="E1346" s="106"/>
      <c r="F1346" s="599"/>
      <c r="G1346" s="112" t="s">
        <v>113</v>
      </c>
      <c r="H1346" s="100" t="s">
        <v>90</v>
      </c>
      <c r="I1346" s="106"/>
      <c r="J1346" s="106"/>
      <c r="K1346" s="106"/>
      <c r="L1346" s="599"/>
    </row>
    <row r="1347" spans="1:12" s="90" customFormat="1" ht="12.75" customHeight="1">
      <c r="A1347" s="112" t="s">
        <v>56</v>
      </c>
      <c r="B1347" s="100" t="s">
        <v>126</v>
      </c>
      <c r="C1347" s="101">
        <v>1033538</v>
      </c>
      <c r="D1347" s="101">
        <v>1033538</v>
      </c>
      <c r="E1347" s="101">
        <v>1033528</v>
      </c>
      <c r="F1347" s="102">
        <f>E1347/D1347</f>
        <v>0.999990324497019</v>
      </c>
      <c r="G1347" s="112" t="s">
        <v>56</v>
      </c>
      <c r="H1347" s="100" t="s">
        <v>132</v>
      </c>
      <c r="I1347" s="101"/>
      <c r="J1347" s="101"/>
      <c r="K1347" s="101"/>
      <c r="L1347" s="102"/>
    </row>
    <row r="1348" spans="1:12" s="90" customFormat="1" ht="12.75" customHeight="1">
      <c r="A1348" s="99" t="s">
        <v>64</v>
      </c>
      <c r="B1348" s="116" t="s">
        <v>127</v>
      </c>
      <c r="C1348" s="101">
        <v>1648000</v>
      </c>
      <c r="D1348" s="101">
        <v>1648000</v>
      </c>
      <c r="E1348" s="101">
        <v>1648000</v>
      </c>
      <c r="F1348" s="102">
        <f>E1348/D1348</f>
        <v>1</v>
      </c>
      <c r="G1348" s="99" t="s">
        <v>64</v>
      </c>
      <c r="H1348" s="116" t="s">
        <v>133</v>
      </c>
      <c r="I1348" s="101"/>
      <c r="J1348" s="101"/>
      <c r="K1348" s="101"/>
      <c r="L1348" s="102"/>
    </row>
    <row r="1349" spans="1:12" s="124" customFormat="1" ht="12.75" customHeight="1" thickBot="1">
      <c r="A1349" s="117"/>
      <c r="B1349" s="118" t="s">
        <v>148</v>
      </c>
      <c r="C1349" s="88">
        <f>+C1337+C1343+C1347+C1348</f>
        <v>6370430</v>
      </c>
      <c r="D1349" s="88">
        <f>+D1337+D1343+D1347+D1348</f>
        <v>6370430</v>
      </c>
      <c r="E1349" s="88">
        <f>+E1337+E1343+E1347+E1348</f>
        <v>2681528</v>
      </c>
      <c r="F1349" s="119">
        <f>E1349/D1349</f>
        <v>0.420933594749491</v>
      </c>
      <c r="G1349" s="117"/>
      <c r="H1349" s="118" t="s">
        <v>149</v>
      </c>
      <c r="I1349" s="88">
        <f>I1337+I1343+I1347+I1348</f>
        <v>6370430</v>
      </c>
      <c r="J1349" s="88">
        <f>J1337+J1343+J1347+J1348</f>
        <v>6370430</v>
      </c>
      <c r="K1349" s="88">
        <f>K1337+K1343+K1347+K1348</f>
        <v>3620634</v>
      </c>
      <c r="L1349" s="119">
        <f t="shared" si="7"/>
        <v>0.5683500171887926</v>
      </c>
    </row>
    <row r="1350" spans="1:12" s="126" customFormat="1" ht="12.75" customHeight="1">
      <c r="A1350" s="124"/>
      <c r="B1350" s="124"/>
      <c r="C1350" s="93"/>
      <c r="D1350" s="93"/>
      <c r="E1350" s="93"/>
      <c r="F1350" s="93"/>
      <c r="G1350" s="124"/>
      <c r="H1350" s="124"/>
      <c r="I1350" s="93"/>
      <c r="J1350" s="93"/>
      <c r="K1350" s="93"/>
      <c r="L1350" s="93"/>
    </row>
    <row r="1351" spans="1:12" s="90" customFormat="1" ht="12.75" customHeight="1" thickBot="1">
      <c r="A1351" s="90" t="s">
        <v>821</v>
      </c>
      <c r="B1351" s="124"/>
      <c r="C1351" s="93"/>
      <c r="D1351" s="93"/>
      <c r="E1351" s="93"/>
      <c r="F1351" s="93"/>
      <c r="G1351" s="124"/>
      <c r="H1351" s="124"/>
      <c r="I1351" s="595"/>
      <c r="J1351" s="595"/>
      <c r="K1351" s="93"/>
      <c r="L1351" s="596" t="s">
        <v>216</v>
      </c>
    </row>
    <row r="1352" spans="1:12" s="90" customFormat="1" ht="24.75" customHeight="1">
      <c r="A1352" s="96"/>
      <c r="B1352" s="97" t="s">
        <v>104</v>
      </c>
      <c r="C1352" s="86" t="s">
        <v>227</v>
      </c>
      <c r="D1352" s="86" t="s">
        <v>844</v>
      </c>
      <c r="E1352" s="86" t="s">
        <v>303</v>
      </c>
      <c r="F1352" s="87" t="s">
        <v>304</v>
      </c>
      <c r="G1352" s="96">
        <v>98</v>
      </c>
      <c r="H1352" s="97" t="s">
        <v>105</v>
      </c>
      <c r="I1352" s="86" t="s">
        <v>227</v>
      </c>
      <c r="J1352" s="86" t="s">
        <v>844</v>
      </c>
      <c r="K1352" s="86" t="s">
        <v>303</v>
      </c>
      <c r="L1352" s="87" t="s">
        <v>304</v>
      </c>
    </row>
    <row r="1353" spans="1:12" s="90" customFormat="1" ht="12.75" customHeight="1">
      <c r="A1353" s="99" t="s">
        <v>23</v>
      </c>
      <c r="B1353" s="100" t="s">
        <v>108</v>
      </c>
      <c r="C1353" s="101"/>
      <c r="D1353" s="101"/>
      <c r="E1353" s="101"/>
      <c r="F1353" s="102"/>
      <c r="G1353" s="99" t="s">
        <v>23</v>
      </c>
      <c r="H1353" s="100" t="s">
        <v>129</v>
      </c>
      <c r="I1353" s="101">
        <f>SUM(I1354:I1358)</f>
        <v>333068</v>
      </c>
      <c r="J1353" s="101">
        <f>SUM(J1354:J1358)</f>
        <v>333068</v>
      </c>
      <c r="K1353" s="101">
        <f>SUM(K1354:K1358)</f>
        <v>0</v>
      </c>
      <c r="L1353" s="102">
        <f>+K1353/J1353</f>
        <v>0</v>
      </c>
    </row>
    <row r="1354" spans="1:12" s="90" customFormat="1" ht="12.75" customHeight="1">
      <c r="A1354" s="99" t="s">
        <v>111</v>
      </c>
      <c r="B1354" s="116" t="s">
        <v>209</v>
      </c>
      <c r="C1354" s="106"/>
      <c r="D1354" s="106"/>
      <c r="E1354" s="106"/>
      <c r="F1354" s="599"/>
      <c r="G1354" s="99" t="s">
        <v>111</v>
      </c>
      <c r="H1354" s="116" t="s">
        <v>80</v>
      </c>
      <c r="I1354" s="106">
        <v>144774</v>
      </c>
      <c r="J1354" s="106">
        <v>144774</v>
      </c>
      <c r="K1354" s="106">
        <v>0</v>
      </c>
      <c r="L1354" s="599">
        <f>+K1354/J1354</f>
        <v>0</v>
      </c>
    </row>
    <row r="1355" spans="1:12" s="90" customFormat="1" ht="12.75" customHeight="1">
      <c r="A1355" s="99"/>
      <c r="B1355" s="116" t="s">
        <v>210</v>
      </c>
      <c r="C1355" s="106"/>
      <c r="D1355" s="106"/>
      <c r="E1355" s="106"/>
      <c r="F1355" s="599"/>
      <c r="G1355" s="99" t="s">
        <v>112</v>
      </c>
      <c r="H1355" s="116" t="s">
        <v>147</v>
      </c>
      <c r="I1355" s="106">
        <v>76628</v>
      </c>
      <c r="J1355" s="106">
        <v>76628</v>
      </c>
      <c r="K1355" s="106">
        <v>0</v>
      </c>
      <c r="L1355" s="599">
        <f>+K1355/J1355</f>
        <v>0</v>
      </c>
    </row>
    <row r="1356" spans="1:12" s="90" customFormat="1" ht="12.75" customHeight="1">
      <c r="A1356" s="99" t="s">
        <v>112</v>
      </c>
      <c r="B1356" s="116" t="s">
        <v>9</v>
      </c>
      <c r="C1356" s="106"/>
      <c r="D1356" s="106"/>
      <c r="E1356" s="106"/>
      <c r="F1356" s="599"/>
      <c r="G1356" s="99" t="s">
        <v>113</v>
      </c>
      <c r="H1356" s="116" t="s">
        <v>83</v>
      </c>
      <c r="I1356" s="106">
        <f>87926+23740</f>
        <v>111666</v>
      </c>
      <c r="J1356" s="106">
        <f>87926+23740</f>
        <v>111666</v>
      </c>
      <c r="K1356" s="106">
        <v>0</v>
      </c>
      <c r="L1356" s="599">
        <f>+K1356/J1356+IF(L1356=0/0,0%)</f>
        <v>0</v>
      </c>
    </row>
    <row r="1357" spans="1:12" s="90" customFormat="1" ht="12.75" customHeight="1">
      <c r="A1357" s="99" t="s">
        <v>113</v>
      </c>
      <c r="B1357" s="116" t="s">
        <v>170</v>
      </c>
      <c r="C1357" s="106"/>
      <c r="D1357" s="106"/>
      <c r="E1357" s="106"/>
      <c r="F1357" s="599"/>
      <c r="G1357" s="99" t="s">
        <v>114</v>
      </c>
      <c r="H1357" s="116" t="s">
        <v>84</v>
      </c>
      <c r="I1357" s="106"/>
      <c r="J1357" s="106"/>
      <c r="K1357" s="106"/>
      <c r="L1357" s="599"/>
    </row>
    <row r="1358" spans="1:12" s="90" customFormat="1" ht="12.75" customHeight="1">
      <c r="A1358" s="99" t="s">
        <v>114</v>
      </c>
      <c r="B1358" s="116" t="s">
        <v>181</v>
      </c>
      <c r="C1358" s="106"/>
      <c r="D1358" s="106"/>
      <c r="E1358" s="106"/>
      <c r="F1358" s="599"/>
      <c r="G1358" s="99" t="s">
        <v>115</v>
      </c>
      <c r="H1358" s="116" t="s">
        <v>211</v>
      </c>
      <c r="I1358" s="106"/>
      <c r="J1358" s="106"/>
      <c r="K1358" s="106"/>
      <c r="L1358" s="599"/>
    </row>
    <row r="1359" spans="1:12" s="90" customFormat="1" ht="12.75" customHeight="1">
      <c r="A1359" s="112" t="s">
        <v>45</v>
      </c>
      <c r="B1359" s="100" t="s">
        <v>118</v>
      </c>
      <c r="C1359" s="101"/>
      <c r="D1359" s="101"/>
      <c r="E1359" s="101"/>
      <c r="F1359" s="102"/>
      <c r="G1359" s="112" t="s">
        <v>45</v>
      </c>
      <c r="H1359" s="100" t="s">
        <v>130</v>
      </c>
      <c r="I1359" s="101"/>
      <c r="J1359" s="101"/>
      <c r="K1359" s="101"/>
      <c r="L1359" s="102"/>
    </row>
    <row r="1360" spans="1:12" s="90" customFormat="1" ht="12.75" customHeight="1">
      <c r="A1360" s="112" t="s">
        <v>111</v>
      </c>
      <c r="B1360" s="100" t="s">
        <v>106</v>
      </c>
      <c r="C1360" s="106"/>
      <c r="D1360" s="106"/>
      <c r="E1360" s="106"/>
      <c r="F1360" s="599"/>
      <c r="G1360" s="112" t="s">
        <v>111</v>
      </c>
      <c r="H1360" s="100" t="s">
        <v>131</v>
      </c>
      <c r="I1360" s="106"/>
      <c r="J1360" s="106"/>
      <c r="K1360" s="106"/>
      <c r="L1360" s="599"/>
    </row>
    <row r="1361" spans="1:12" s="90" customFormat="1" ht="12.75" customHeight="1">
      <c r="A1361" s="112" t="s">
        <v>112</v>
      </c>
      <c r="B1361" s="100" t="s">
        <v>39</v>
      </c>
      <c r="C1361" s="106"/>
      <c r="D1361" s="106"/>
      <c r="E1361" s="106"/>
      <c r="F1361" s="599"/>
      <c r="G1361" s="112" t="s">
        <v>112</v>
      </c>
      <c r="H1361" s="100" t="s">
        <v>87</v>
      </c>
      <c r="I1361" s="106"/>
      <c r="J1361" s="106"/>
      <c r="K1361" s="106"/>
      <c r="L1361" s="599"/>
    </row>
    <row r="1362" spans="1:12" s="90" customFormat="1" ht="12.75" customHeight="1">
      <c r="A1362" s="112" t="s">
        <v>113</v>
      </c>
      <c r="B1362" s="100" t="s">
        <v>201</v>
      </c>
      <c r="C1362" s="106"/>
      <c r="D1362" s="106"/>
      <c r="E1362" s="106"/>
      <c r="F1362" s="599"/>
      <c r="G1362" s="112" t="s">
        <v>113</v>
      </c>
      <c r="H1362" s="100" t="s">
        <v>90</v>
      </c>
      <c r="I1362" s="106"/>
      <c r="J1362" s="106"/>
      <c r="K1362" s="106"/>
      <c r="L1362" s="599"/>
    </row>
    <row r="1363" spans="1:12" s="90" customFormat="1" ht="12.75" customHeight="1">
      <c r="A1363" s="112" t="s">
        <v>56</v>
      </c>
      <c r="B1363" s="100" t="s">
        <v>126</v>
      </c>
      <c r="C1363" s="101">
        <v>333068</v>
      </c>
      <c r="D1363" s="101">
        <v>333068</v>
      </c>
      <c r="E1363" s="101">
        <v>333068</v>
      </c>
      <c r="F1363" s="102">
        <f>+E1363/D1363</f>
        <v>1</v>
      </c>
      <c r="G1363" s="112" t="s">
        <v>56</v>
      </c>
      <c r="H1363" s="100" t="s">
        <v>132</v>
      </c>
      <c r="I1363" s="101"/>
      <c r="J1363" s="101"/>
      <c r="K1363" s="101"/>
      <c r="L1363" s="102"/>
    </row>
    <row r="1364" spans="1:12" s="90" customFormat="1" ht="12.75" customHeight="1">
      <c r="A1364" s="99" t="s">
        <v>64</v>
      </c>
      <c r="B1364" s="116" t="s">
        <v>127</v>
      </c>
      <c r="C1364" s="101"/>
      <c r="D1364" s="101"/>
      <c r="E1364" s="101"/>
      <c r="F1364" s="102"/>
      <c r="G1364" s="99" t="s">
        <v>64</v>
      </c>
      <c r="H1364" s="116" t="s">
        <v>133</v>
      </c>
      <c r="I1364" s="101"/>
      <c r="J1364" s="101"/>
      <c r="K1364" s="101"/>
      <c r="L1364" s="102"/>
    </row>
    <row r="1365" spans="1:12" s="124" customFormat="1" ht="12.75" customHeight="1" thickBot="1">
      <c r="A1365" s="117"/>
      <c r="B1365" s="118" t="s">
        <v>148</v>
      </c>
      <c r="C1365" s="88">
        <f>+C1353+C1359+C1363+C1364</f>
        <v>333068</v>
      </c>
      <c r="D1365" s="88">
        <f>+D1353+D1359+D1363+D1364</f>
        <v>333068</v>
      </c>
      <c r="E1365" s="88">
        <f>+E1353+E1359+E1363+E1364</f>
        <v>333068</v>
      </c>
      <c r="F1365" s="119">
        <f>+E1365/D1365</f>
        <v>1</v>
      </c>
      <c r="G1365" s="117"/>
      <c r="H1365" s="118" t="s">
        <v>149</v>
      </c>
      <c r="I1365" s="88">
        <f>I1353+I1359+I1363+I1364</f>
        <v>333068</v>
      </c>
      <c r="J1365" s="88">
        <f>J1353+J1359+J1363+J1364</f>
        <v>333068</v>
      </c>
      <c r="K1365" s="88">
        <v>0</v>
      </c>
      <c r="L1365" s="119">
        <f>+K1365/J1365</f>
        <v>0</v>
      </c>
    </row>
    <row r="1366" spans="1:12" s="126" customFormat="1" ht="12.75" customHeight="1">
      <c r="A1366" s="124"/>
      <c r="B1366" s="124"/>
      <c r="C1366" s="93"/>
      <c r="D1366" s="93"/>
      <c r="E1366" s="93"/>
      <c r="F1366" s="93"/>
      <c r="G1366" s="124"/>
      <c r="H1366" s="124"/>
      <c r="I1366" s="93"/>
      <c r="J1366" s="93"/>
      <c r="K1366" s="93"/>
      <c r="L1366" s="93"/>
    </row>
    <row r="1367" spans="1:12" s="90" customFormat="1" ht="12.75" customHeight="1" thickBot="1">
      <c r="A1367" s="90" t="s">
        <v>822</v>
      </c>
      <c r="B1367" s="124"/>
      <c r="C1367" s="93"/>
      <c r="D1367" s="93"/>
      <c r="E1367" s="93"/>
      <c r="F1367" s="93"/>
      <c r="G1367" s="124"/>
      <c r="H1367" s="124"/>
      <c r="I1367" s="595"/>
      <c r="J1367" s="595"/>
      <c r="K1367" s="93"/>
      <c r="L1367" s="596" t="s">
        <v>216</v>
      </c>
    </row>
    <row r="1368" spans="1:12" s="90" customFormat="1" ht="24.75" customHeight="1">
      <c r="A1368" s="96"/>
      <c r="B1368" s="97" t="s">
        <v>104</v>
      </c>
      <c r="C1368" s="86" t="s">
        <v>227</v>
      </c>
      <c r="D1368" s="86" t="s">
        <v>844</v>
      </c>
      <c r="E1368" s="86" t="s">
        <v>303</v>
      </c>
      <c r="F1368" s="87" t="s">
        <v>304</v>
      </c>
      <c r="G1368" s="96">
        <v>99</v>
      </c>
      <c r="H1368" s="97" t="s">
        <v>105</v>
      </c>
      <c r="I1368" s="86" t="s">
        <v>227</v>
      </c>
      <c r="J1368" s="86" t="s">
        <v>844</v>
      </c>
      <c r="K1368" s="86" t="s">
        <v>303</v>
      </c>
      <c r="L1368" s="87" t="s">
        <v>304</v>
      </c>
    </row>
    <row r="1369" spans="1:12" s="90" customFormat="1" ht="12.75" customHeight="1">
      <c r="A1369" s="99" t="s">
        <v>23</v>
      </c>
      <c r="B1369" s="100" t="s">
        <v>108</v>
      </c>
      <c r="C1369" s="101"/>
      <c r="D1369" s="101"/>
      <c r="E1369" s="101"/>
      <c r="F1369" s="102"/>
      <c r="G1369" s="99" t="s">
        <v>23</v>
      </c>
      <c r="H1369" s="100" t="s">
        <v>129</v>
      </c>
      <c r="I1369" s="101">
        <f>SUM(I1370:I1374)</f>
        <v>180218</v>
      </c>
      <c r="J1369" s="101">
        <f>SUM(J1370:J1374)</f>
        <v>180218</v>
      </c>
      <c r="K1369" s="101">
        <f>SUM(K1370:K1374)</f>
        <v>64961</v>
      </c>
      <c r="L1369" s="102">
        <f>+K1369/J1369</f>
        <v>0.3604578898889123</v>
      </c>
    </row>
    <row r="1370" spans="1:12" s="90" customFormat="1" ht="12.75" customHeight="1">
      <c r="A1370" s="99" t="s">
        <v>111</v>
      </c>
      <c r="B1370" s="116" t="s">
        <v>209</v>
      </c>
      <c r="C1370" s="106"/>
      <c r="D1370" s="106"/>
      <c r="E1370" s="106"/>
      <c r="F1370" s="599"/>
      <c r="G1370" s="99" t="s">
        <v>111</v>
      </c>
      <c r="H1370" s="116" t="s">
        <v>80</v>
      </c>
      <c r="I1370" s="106">
        <v>55286</v>
      </c>
      <c r="J1370" s="106">
        <v>55286</v>
      </c>
      <c r="K1370" s="106">
        <v>55286</v>
      </c>
      <c r="L1370" s="599">
        <f>+K1370/J1370</f>
        <v>1</v>
      </c>
    </row>
    <row r="1371" spans="1:12" s="90" customFormat="1" ht="12.75" customHeight="1">
      <c r="A1371" s="99"/>
      <c r="B1371" s="116" t="s">
        <v>210</v>
      </c>
      <c r="C1371" s="106"/>
      <c r="D1371" s="106"/>
      <c r="E1371" s="106"/>
      <c r="F1371" s="599"/>
      <c r="G1371" s="99" t="s">
        <v>112</v>
      </c>
      <c r="H1371" s="116" t="s">
        <v>147</v>
      </c>
      <c r="I1371" s="106">
        <v>9675</v>
      </c>
      <c r="J1371" s="106">
        <v>9675</v>
      </c>
      <c r="K1371" s="106">
        <v>9675</v>
      </c>
      <c r="L1371" s="599">
        <f>+K1371/J1371</f>
        <v>1</v>
      </c>
    </row>
    <row r="1372" spans="1:12" s="90" customFormat="1" ht="12.75" customHeight="1">
      <c r="A1372" s="99" t="s">
        <v>112</v>
      </c>
      <c r="B1372" s="116" t="s">
        <v>9</v>
      </c>
      <c r="C1372" s="106"/>
      <c r="D1372" s="106"/>
      <c r="E1372" s="106"/>
      <c r="F1372" s="599"/>
      <c r="G1372" s="99" t="s">
        <v>113</v>
      </c>
      <c r="H1372" s="116" t="s">
        <v>83</v>
      </c>
      <c r="I1372" s="106"/>
      <c r="J1372" s="106"/>
      <c r="K1372" s="106"/>
      <c r="L1372" s="599"/>
    </row>
    <row r="1373" spans="1:12" s="90" customFormat="1" ht="12.75" customHeight="1">
      <c r="A1373" s="99" t="s">
        <v>113</v>
      </c>
      <c r="B1373" s="116" t="s">
        <v>170</v>
      </c>
      <c r="C1373" s="106"/>
      <c r="D1373" s="106"/>
      <c r="E1373" s="106"/>
      <c r="F1373" s="599"/>
      <c r="G1373" s="99" t="s">
        <v>114</v>
      </c>
      <c r="H1373" s="116" t="s">
        <v>84</v>
      </c>
      <c r="I1373" s="106"/>
      <c r="J1373" s="106"/>
      <c r="K1373" s="106"/>
      <c r="L1373" s="599"/>
    </row>
    <row r="1374" spans="1:12" s="90" customFormat="1" ht="12.75" customHeight="1">
      <c r="A1374" s="99" t="s">
        <v>114</v>
      </c>
      <c r="B1374" s="116" t="s">
        <v>181</v>
      </c>
      <c r="C1374" s="106"/>
      <c r="D1374" s="106"/>
      <c r="E1374" s="106"/>
      <c r="F1374" s="599"/>
      <c r="G1374" s="99" t="s">
        <v>115</v>
      </c>
      <c r="H1374" s="116" t="s">
        <v>211</v>
      </c>
      <c r="I1374" s="106">
        <v>115257</v>
      </c>
      <c r="J1374" s="106">
        <v>115257</v>
      </c>
      <c r="K1374" s="106">
        <v>0</v>
      </c>
      <c r="L1374" s="599">
        <f>+K1374/J1374</f>
        <v>0</v>
      </c>
    </row>
    <row r="1375" spans="1:12" s="90" customFormat="1" ht="12.75" customHeight="1">
      <c r="A1375" s="112" t="s">
        <v>45</v>
      </c>
      <c r="B1375" s="100" t="s">
        <v>118</v>
      </c>
      <c r="C1375" s="101"/>
      <c r="D1375" s="101"/>
      <c r="E1375" s="101"/>
      <c r="F1375" s="102"/>
      <c r="G1375" s="112" t="s">
        <v>45</v>
      </c>
      <c r="H1375" s="100" t="s">
        <v>130</v>
      </c>
      <c r="I1375" s="101"/>
      <c r="J1375" s="101"/>
      <c r="K1375" s="101"/>
      <c r="L1375" s="102"/>
    </row>
    <row r="1376" spans="1:12" s="90" customFormat="1" ht="12.75" customHeight="1">
      <c r="A1376" s="112" t="s">
        <v>111</v>
      </c>
      <c r="B1376" s="100" t="s">
        <v>106</v>
      </c>
      <c r="C1376" s="106"/>
      <c r="D1376" s="106"/>
      <c r="E1376" s="106"/>
      <c r="F1376" s="599"/>
      <c r="G1376" s="112" t="s">
        <v>111</v>
      </c>
      <c r="H1376" s="100" t="s">
        <v>131</v>
      </c>
      <c r="I1376" s="106"/>
      <c r="J1376" s="106"/>
      <c r="K1376" s="106"/>
      <c r="L1376" s="599"/>
    </row>
    <row r="1377" spans="1:12" s="90" customFormat="1" ht="12.75" customHeight="1">
      <c r="A1377" s="112" t="s">
        <v>112</v>
      </c>
      <c r="B1377" s="100" t="s">
        <v>39</v>
      </c>
      <c r="C1377" s="106"/>
      <c r="D1377" s="106"/>
      <c r="E1377" s="106"/>
      <c r="F1377" s="599"/>
      <c r="G1377" s="112" t="s">
        <v>112</v>
      </c>
      <c r="H1377" s="100" t="s">
        <v>87</v>
      </c>
      <c r="I1377" s="106"/>
      <c r="J1377" s="106"/>
      <c r="K1377" s="106"/>
      <c r="L1377" s="599"/>
    </row>
    <row r="1378" spans="1:12" s="90" customFormat="1" ht="12.75" customHeight="1">
      <c r="A1378" s="112" t="s">
        <v>113</v>
      </c>
      <c r="B1378" s="100" t="s">
        <v>201</v>
      </c>
      <c r="C1378" s="106"/>
      <c r="D1378" s="106"/>
      <c r="E1378" s="106"/>
      <c r="F1378" s="599"/>
      <c r="G1378" s="112" t="s">
        <v>113</v>
      </c>
      <c r="H1378" s="100" t="s">
        <v>90</v>
      </c>
      <c r="I1378" s="106"/>
      <c r="J1378" s="106"/>
      <c r="K1378" s="106"/>
      <c r="L1378" s="599"/>
    </row>
    <row r="1379" spans="1:12" s="90" customFormat="1" ht="12.75" customHeight="1">
      <c r="A1379" s="112" t="s">
        <v>56</v>
      </c>
      <c r="B1379" s="100" t="s">
        <v>126</v>
      </c>
      <c r="C1379" s="101">
        <v>180218</v>
      </c>
      <c r="D1379" s="101">
        <v>180218</v>
      </c>
      <c r="E1379" s="101">
        <v>180218</v>
      </c>
      <c r="F1379" s="102">
        <f>+E1379/D1379</f>
        <v>1</v>
      </c>
      <c r="G1379" s="112" t="s">
        <v>56</v>
      </c>
      <c r="H1379" s="100" t="s">
        <v>132</v>
      </c>
      <c r="I1379" s="101"/>
      <c r="J1379" s="101"/>
      <c r="K1379" s="101"/>
      <c r="L1379" s="102"/>
    </row>
    <row r="1380" spans="1:12" s="90" customFormat="1" ht="12.75" customHeight="1">
      <c r="A1380" s="99" t="s">
        <v>64</v>
      </c>
      <c r="B1380" s="116" t="s">
        <v>127</v>
      </c>
      <c r="C1380" s="101"/>
      <c r="D1380" s="101"/>
      <c r="E1380" s="101"/>
      <c r="F1380" s="102"/>
      <c r="G1380" s="99" t="s">
        <v>64</v>
      </c>
      <c r="H1380" s="116" t="s">
        <v>133</v>
      </c>
      <c r="I1380" s="101"/>
      <c r="J1380" s="101"/>
      <c r="K1380" s="101"/>
      <c r="L1380" s="102"/>
    </row>
    <row r="1381" spans="1:12" s="124" customFormat="1" ht="12.75" customHeight="1" thickBot="1">
      <c r="A1381" s="117"/>
      <c r="B1381" s="118" t="s">
        <v>148</v>
      </c>
      <c r="C1381" s="88">
        <f>+C1369+C1375+C1379+C1380</f>
        <v>180218</v>
      </c>
      <c r="D1381" s="88">
        <f>+D1369+D1375+D1379+D1380</f>
        <v>180218</v>
      </c>
      <c r="E1381" s="88">
        <f>+E1369+E1375+E1379+E1380</f>
        <v>180218</v>
      </c>
      <c r="F1381" s="119">
        <f>+E1381/D1381</f>
        <v>1</v>
      </c>
      <c r="G1381" s="117"/>
      <c r="H1381" s="118" t="s">
        <v>149</v>
      </c>
      <c r="I1381" s="88">
        <f>I1369+I1375+I1379+I1380</f>
        <v>180218</v>
      </c>
      <c r="J1381" s="88">
        <f>J1369+J1375+J1379+J1380</f>
        <v>180218</v>
      </c>
      <c r="K1381" s="88">
        <f>K1369+K1375+K1379+K1380</f>
        <v>64961</v>
      </c>
      <c r="L1381" s="119">
        <f>+K1381/J1381</f>
        <v>0.3604578898889123</v>
      </c>
    </row>
    <row r="1382" spans="1:12" s="124" customFormat="1" ht="26.25" customHeight="1">
      <c r="A1382" s="142"/>
      <c r="B1382" s="142"/>
      <c r="C1382" s="93"/>
      <c r="D1382" s="93"/>
      <c r="E1382" s="141"/>
      <c r="F1382" s="643"/>
      <c r="G1382" s="142"/>
      <c r="H1382" s="142"/>
      <c r="I1382" s="93"/>
      <c r="J1382" s="93"/>
      <c r="K1382" s="141"/>
      <c r="L1382" s="643"/>
    </row>
    <row r="1383" spans="1:12" s="90" customFormat="1" ht="12.75" customHeight="1" thickBot="1">
      <c r="A1383" s="90" t="s">
        <v>823</v>
      </c>
      <c r="B1383" s="124"/>
      <c r="C1383" s="93"/>
      <c r="D1383" s="93"/>
      <c r="E1383" s="93"/>
      <c r="F1383" s="93"/>
      <c r="G1383" s="124"/>
      <c r="H1383" s="124"/>
      <c r="I1383" s="595"/>
      <c r="J1383" s="595"/>
      <c r="K1383" s="93"/>
      <c r="L1383" s="596" t="s">
        <v>216</v>
      </c>
    </row>
    <row r="1384" spans="1:12" s="90" customFormat="1" ht="24.75" customHeight="1">
      <c r="A1384" s="96"/>
      <c r="B1384" s="97" t="s">
        <v>104</v>
      </c>
      <c r="C1384" s="86" t="s">
        <v>227</v>
      </c>
      <c r="D1384" s="86" t="s">
        <v>844</v>
      </c>
      <c r="E1384" s="86" t="s">
        <v>303</v>
      </c>
      <c r="F1384" s="87" t="s">
        <v>304</v>
      </c>
      <c r="G1384" s="96">
        <v>100</v>
      </c>
      <c r="H1384" s="97" t="s">
        <v>105</v>
      </c>
      <c r="I1384" s="86" t="s">
        <v>227</v>
      </c>
      <c r="J1384" s="86" t="s">
        <v>844</v>
      </c>
      <c r="K1384" s="86" t="s">
        <v>303</v>
      </c>
      <c r="L1384" s="87" t="s">
        <v>304</v>
      </c>
    </row>
    <row r="1385" spans="1:12" s="90" customFormat="1" ht="12.75" customHeight="1">
      <c r="A1385" s="99" t="s">
        <v>23</v>
      </c>
      <c r="B1385" s="100" t="s">
        <v>108</v>
      </c>
      <c r="C1385" s="101"/>
      <c r="D1385" s="101"/>
      <c r="E1385" s="101"/>
      <c r="F1385" s="102"/>
      <c r="G1385" s="99" t="s">
        <v>23</v>
      </c>
      <c r="H1385" s="100" t="s">
        <v>129</v>
      </c>
      <c r="I1385" s="101">
        <f>SUM(I1386:I1390)</f>
        <v>8674</v>
      </c>
      <c r="J1385" s="101">
        <f>SUM(J1386:J1390)</f>
        <v>8674</v>
      </c>
      <c r="K1385" s="101">
        <f>SUM(K1386:K1390)</f>
        <v>0</v>
      </c>
      <c r="L1385" s="102">
        <f>+K1385/J1385+IF(L1385=0/0,0%)</f>
        <v>0</v>
      </c>
    </row>
    <row r="1386" spans="1:12" s="90" customFormat="1" ht="12.75" customHeight="1">
      <c r="A1386" s="99" t="s">
        <v>111</v>
      </c>
      <c r="B1386" s="116" t="s">
        <v>209</v>
      </c>
      <c r="C1386" s="106"/>
      <c r="D1386" s="106"/>
      <c r="E1386" s="106"/>
      <c r="F1386" s="599"/>
      <c r="G1386" s="99" t="s">
        <v>111</v>
      </c>
      <c r="H1386" s="116" t="s">
        <v>80</v>
      </c>
      <c r="I1386" s="106"/>
      <c r="J1386" s="106"/>
      <c r="K1386" s="106"/>
      <c r="L1386" s="599"/>
    </row>
    <row r="1387" spans="1:12" s="90" customFormat="1" ht="12.75" customHeight="1">
      <c r="A1387" s="99"/>
      <c r="B1387" s="116" t="s">
        <v>210</v>
      </c>
      <c r="C1387" s="106"/>
      <c r="D1387" s="106"/>
      <c r="E1387" s="106"/>
      <c r="F1387" s="599"/>
      <c r="G1387" s="99" t="s">
        <v>112</v>
      </c>
      <c r="H1387" s="116" t="s">
        <v>147</v>
      </c>
      <c r="I1387" s="106"/>
      <c r="J1387" s="106"/>
      <c r="K1387" s="106"/>
      <c r="L1387" s="599"/>
    </row>
    <row r="1388" spans="1:12" s="90" customFormat="1" ht="12.75" customHeight="1">
      <c r="A1388" s="99" t="s">
        <v>112</v>
      </c>
      <c r="B1388" s="116" t="s">
        <v>9</v>
      </c>
      <c r="C1388" s="106"/>
      <c r="D1388" s="106"/>
      <c r="E1388" s="106"/>
      <c r="F1388" s="599"/>
      <c r="G1388" s="99" t="s">
        <v>113</v>
      </c>
      <c r="H1388" s="116" t="s">
        <v>83</v>
      </c>
      <c r="I1388" s="106"/>
      <c r="J1388" s="106"/>
      <c r="K1388" s="106"/>
      <c r="L1388" s="599"/>
    </row>
    <row r="1389" spans="1:12" s="90" customFormat="1" ht="12.75" customHeight="1">
      <c r="A1389" s="99" t="s">
        <v>113</v>
      </c>
      <c r="B1389" s="116" t="s">
        <v>170</v>
      </c>
      <c r="C1389" s="106"/>
      <c r="D1389" s="106"/>
      <c r="E1389" s="106"/>
      <c r="F1389" s="599"/>
      <c r="G1389" s="99" t="s">
        <v>114</v>
      </c>
      <c r="H1389" s="116" t="s">
        <v>84</v>
      </c>
      <c r="I1389" s="106"/>
      <c r="J1389" s="106"/>
      <c r="K1389" s="106"/>
      <c r="L1389" s="599"/>
    </row>
    <row r="1390" spans="1:12" s="90" customFormat="1" ht="12.75" customHeight="1">
      <c r="A1390" s="99" t="s">
        <v>114</v>
      </c>
      <c r="B1390" s="116" t="s">
        <v>181</v>
      </c>
      <c r="C1390" s="106"/>
      <c r="D1390" s="106"/>
      <c r="E1390" s="106"/>
      <c r="F1390" s="599"/>
      <c r="G1390" s="99" t="s">
        <v>115</v>
      </c>
      <c r="H1390" s="116" t="s">
        <v>211</v>
      </c>
      <c r="I1390" s="106">
        <v>8674</v>
      </c>
      <c r="J1390" s="106">
        <v>8674</v>
      </c>
      <c r="K1390" s="106">
        <v>0</v>
      </c>
      <c r="L1390" s="599">
        <f>+K1390/J1390+IF(L1390=0/0,0%)</f>
        <v>0</v>
      </c>
    </row>
    <row r="1391" spans="1:12" s="90" customFormat="1" ht="12.75" customHeight="1">
      <c r="A1391" s="112" t="s">
        <v>45</v>
      </c>
      <c r="B1391" s="100" t="s">
        <v>118</v>
      </c>
      <c r="C1391" s="101"/>
      <c r="D1391" s="101"/>
      <c r="E1391" s="101"/>
      <c r="F1391" s="102"/>
      <c r="G1391" s="112" t="s">
        <v>45</v>
      </c>
      <c r="H1391" s="100" t="s">
        <v>130</v>
      </c>
      <c r="I1391" s="101"/>
      <c r="J1391" s="101"/>
      <c r="K1391" s="101"/>
      <c r="L1391" s="102"/>
    </row>
    <row r="1392" spans="1:12" s="90" customFormat="1" ht="12.75" customHeight="1">
      <c r="A1392" s="112" t="s">
        <v>111</v>
      </c>
      <c r="B1392" s="100" t="s">
        <v>106</v>
      </c>
      <c r="C1392" s="106"/>
      <c r="D1392" s="106"/>
      <c r="E1392" s="106"/>
      <c r="F1392" s="599"/>
      <c r="G1392" s="112" t="s">
        <v>111</v>
      </c>
      <c r="H1392" s="100" t="s">
        <v>131</v>
      </c>
      <c r="I1392" s="106"/>
      <c r="J1392" s="106"/>
      <c r="K1392" s="106"/>
      <c r="L1392" s="599"/>
    </row>
    <row r="1393" spans="1:12" s="90" customFormat="1" ht="12.75" customHeight="1">
      <c r="A1393" s="112" t="s">
        <v>112</v>
      </c>
      <c r="B1393" s="100" t="s">
        <v>39</v>
      </c>
      <c r="C1393" s="106"/>
      <c r="D1393" s="106"/>
      <c r="E1393" s="106"/>
      <c r="F1393" s="599"/>
      <c r="G1393" s="112" t="s">
        <v>112</v>
      </c>
      <c r="H1393" s="100" t="s">
        <v>87</v>
      </c>
      <c r="I1393" s="106"/>
      <c r="J1393" s="106"/>
      <c r="K1393" s="106"/>
      <c r="L1393" s="599"/>
    </row>
    <row r="1394" spans="1:12" s="90" customFormat="1" ht="12.75" customHeight="1">
      <c r="A1394" s="112" t="s">
        <v>113</v>
      </c>
      <c r="B1394" s="100" t="s">
        <v>201</v>
      </c>
      <c r="C1394" s="106"/>
      <c r="D1394" s="106"/>
      <c r="E1394" s="106"/>
      <c r="F1394" s="599"/>
      <c r="G1394" s="112" t="s">
        <v>113</v>
      </c>
      <c r="H1394" s="100" t="s">
        <v>90</v>
      </c>
      <c r="I1394" s="106"/>
      <c r="J1394" s="106"/>
      <c r="K1394" s="106"/>
      <c r="L1394" s="599"/>
    </row>
    <row r="1395" spans="1:12" s="90" customFormat="1" ht="12.75" customHeight="1">
      <c r="A1395" s="112" t="s">
        <v>56</v>
      </c>
      <c r="B1395" s="100" t="s">
        <v>126</v>
      </c>
      <c r="C1395" s="101">
        <v>8674</v>
      </c>
      <c r="D1395" s="101">
        <v>8674</v>
      </c>
      <c r="E1395" s="101">
        <v>8674</v>
      </c>
      <c r="F1395" s="102">
        <f>+E1395/D1395</f>
        <v>1</v>
      </c>
      <c r="G1395" s="112" t="s">
        <v>56</v>
      </c>
      <c r="H1395" s="100" t="s">
        <v>132</v>
      </c>
      <c r="I1395" s="101"/>
      <c r="J1395" s="101"/>
      <c r="K1395" s="101"/>
      <c r="L1395" s="102"/>
    </row>
    <row r="1396" spans="1:12" s="90" customFormat="1" ht="12.75" customHeight="1">
      <c r="A1396" s="99" t="s">
        <v>64</v>
      </c>
      <c r="B1396" s="116" t="s">
        <v>127</v>
      </c>
      <c r="C1396" s="101"/>
      <c r="D1396" s="101"/>
      <c r="E1396" s="101"/>
      <c r="F1396" s="102"/>
      <c r="G1396" s="99" t="s">
        <v>64</v>
      </c>
      <c r="H1396" s="116" t="s">
        <v>133</v>
      </c>
      <c r="I1396" s="101"/>
      <c r="J1396" s="101"/>
      <c r="K1396" s="101"/>
      <c r="L1396" s="102"/>
    </row>
    <row r="1397" spans="1:12" s="124" customFormat="1" ht="12.75" customHeight="1" thickBot="1">
      <c r="A1397" s="117"/>
      <c r="B1397" s="118" t="s">
        <v>148</v>
      </c>
      <c r="C1397" s="88">
        <f>+C1385+C1391+C1395+C1396</f>
        <v>8674</v>
      </c>
      <c r="D1397" s="88">
        <f>+D1385+D1391+D1395+D1396</f>
        <v>8674</v>
      </c>
      <c r="E1397" s="88">
        <f>+E1385+E1391+E1395+E1396</f>
        <v>8674</v>
      </c>
      <c r="F1397" s="119">
        <f>+E1397/D1397</f>
        <v>1</v>
      </c>
      <c r="G1397" s="117"/>
      <c r="H1397" s="118" t="s">
        <v>149</v>
      </c>
      <c r="I1397" s="88">
        <f>I1385+I1391+I1395+I1396</f>
        <v>8674</v>
      </c>
      <c r="J1397" s="88">
        <f>J1385+J1391+J1395+J1396</f>
        <v>8674</v>
      </c>
      <c r="K1397" s="88">
        <f>K1385+K1391+K1395+K1396</f>
        <v>0</v>
      </c>
      <c r="L1397" s="119">
        <f>+K1397/J1397+IF(L1397=0/0,0%)</f>
        <v>0</v>
      </c>
    </row>
    <row r="1398" spans="1:12" s="126" customFormat="1" ht="12.75" customHeight="1">
      <c r="A1398" s="124"/>
      <c r="B1398" s="124"/>
      <c r="C1398" s="93"/>
      <c r="D1398" s="93"/>
      <c r="E1398" s="595"/>
      <c r="F1398" s="595"/>
      <c r="G1398" s="124"/>
      <c r="H1398" s="124"/>
      <c r="I1398" s="93"/>
      <c r="J1398" s="93"/>
      <c r="K1398" s="595"/>
      <c r="L1398" s="595"/>
    </row>
    <row r="1399" spans="1:12" s="90" customFormat="1" ht="12.75" customHeight="1" thickBot="1">
      <c r="A1399" s="90" t="s">
        <v>824</v>
      </c>
      <c r="B1399" s="124"/>
      <c r="C1399" s="93"/>
      <c r="D1399" s="93"/>
      <c r="E1399" s="93"/>
      <c r="F1399" s="93"/>
      <c r="G1399" s="124"/>
      <c r="H1399" s="124"/>
      <c r="I1399" s="595"/>
      <c r="J1399" s="595"/>
      <c r="K1399" s="93"/>
      <c r="L1399" s="596" t="s">
        <v>216</v>
      </c>
    </row>
    <row r="1400" spans="1:12" s="90" customFormat="1" ht="24.75" customHeight="1">
      <c r="A1400" s="96"/>
      <c r="B1400" s="97" t="s">
        <v>104</v>
      </c>
      <c r="C1400" s="86" t="s">
        <v>227</v>
      </c>
      <c r="D1400" s="86" t="s">
        <v>844</v>
      </c>
      <c r="E1400" s="86" t="s">
        <v>303</v>
      </c>
      <c r="F1400" s="87" t="s">
        <v>304</v>
      </c>
      <c r="G1400" s="96">
        <v>101</v>
      </c>
      <c r="H1400" s="97" t="s">
        <v>105</v>
      </c>
      <c r="I1400" s="86" t="s">
        <v>227</v>
      </c>
      <c r="J1400" s="86" t="s">
        <v>844</v>
      </c>
      <c r="K1400" s="86" t="s">
        <v>303</v>
      </c>
      <c r="L1400" s="87" t="s">
        <v>304</v>
      </c>
    </row>
    <row r="1401" spans="1:12" s="90" customFormat="1" ht="12.75" customHeight="1">
      <c r="A1401" s="99" t="s">
        <v>23</v>
      </c>
      <c r="B1401" s="100" t="s">
        <v>108</v>
      </c>
      <c r="C1401" s="101"/>
      <c r="D1401" s="101"/>
      <c r="E1401" s="101"/>
      <c r="F1401" s="102"/>
      <c r="G1401" s="99" t="s">
        <v>23</v>
      </c>
      <c r="H1401" s="100" t="s">
        <v>129</v>
      </c>
      <c r="I1401" s="101">
        <f>SUM(I1402:I1406)</f>
        <v>2752465</v>
      </c>
      <c r="J1401" s="101">
        <f>SUM(J1402:J1406)</f>
        <v>2752465</v>
      </c>
      <c r="K1401" s="101">
        <f>SUM(K1402:K1406)</f>
        <v>1062082</v>
      </c>
      <c r="L1401" s="102">
        <f>+K1401/J1401</f>
        <v>0.3858657603275609</v>
      </c>
    </row>
    <row r="1402" spans="1:12" s="90" customFormat="1" ht="12.75" customHeight="1">
      <c r="A1402" s="99" t="s">
        <v>111</v>
      </c>
      <c r="B1402" s="116" t="s">
        <v>209</v>
      </c>
      <c r="C1402" s="106"/>
      <c r="D1402" s="106"/>
      <c r="E1402" s="106"/>
      <c r="F1402" s="599"/>
      <c r="G1402" s="99" t="s">
        <v>111</v>
      </c>
      <c r="H1402" s="116" t="s">
        <v>80</v>
      </c>
      <c r="I1402" s="106">
        <f>568108+241020</f>
        <v>809128</v>
      </c>
      <c r="J1402" s="106">
        <v>792185</v>
      </c>
      <c r="K1402" s="106">
        <v>787360</v>
      </c>
      <c r="L1402" s="599">
        <f>+K1402/J1402</f>
        <v>0.9939092509956639</v>
      </c>
    </row>
    <row r="1403" spans="1:12" s="90" customFormat="1" ht="12.75" customHeight="1">
      <c r="A1403" s="99"/>
      <c r="B1403" s="116" t="s">
        <v>210</v>
      </c>
      <c r="C1403" s="106"/>
      <c r="D1403" s="106"/>
      <c r="E1403" s="106"/>
      <c r="F1403" s="599"/>
      <c r="G1403" s="99" t="s">
        <v>112</v>
      </c>
      <c r="H1403" s="116" t="s">
        <v>147</v>
      </c>
      <c r="I1403" s="106">
        <v>107779</v>
      </c>
      <c r="J1403" s="106">
        <v>124722</v>
      </c>
      <c r="K1403" s="106">
        <v>124722</v>
      </c>
      <c r="L1403" s="599">
        <f>+K1403/J1403</f>
        <v>1</v>
      </c>
    </row>
    <row r="1404" spans="1:12" s="90" customFormat="1" ht="12.75" customHeight="1">
      <c r="A1404" s="99" t="s">
        <v>112</v>
      </c>
      <c r="B1404" s="116" t="s">
        <v>9</v>
      </c>
      <c r="C1404" s="106"/>
      <c r="D1404" s="106"/>
      <c r="E1404" s="106"/>
      <c r="F1404" s="599"/>
      <c r="G1404" s="99" t="s">
        <v>113</v>
      </c>
      <c r="H1404" s="116" t="s">
        <v>83</v>
      </c>
      <c r="I1404" s="106">
        <f>1454558+381000</f>
        <v>1835558</v>
      </c>
      <c r="J1404" s="106">
        <f>1454558+381000</f>
        <v>1835558</v>
      </c>
      <c r="K1404" s="106">
        <v>150000</v>
      </c>
      <c r="L1404" s="599">
        <f>+K1404/J1404</f>
        <v>0.08171901950251641</v>
      </c>
    </row>
    <row r="1405" spans="1:12" s="90" customFormat="1" ht="12.75" customHeight="1">
      <c r="A1405" s="99" t="s">
        <v>113</v>
      </c>
      <c r="B1405" s="116" t="s">
        <v>170</v>
      </c>
      <c r="C1405" s="106"/>
      <c r="D1405" s="106"/>
      <c r="E1405" s="106"/>
      <c r="F1405" s="599"/>
      <c r="G1405" s="99" t="s">
        <v>114</v>
      </c>
      <c r="H1405" s="116" t="s">
        <v>84</v>
      </c>
      <c r="I1405" s="106"/>
      <c r="J1405" s="106"/>
      <c r="K1405" s="106"/>
      <c r="L1405" s="599"/>
    </row>
    <row r="1406" spans="1:12" s="90" customFormat="1" ht="12.75" customHeight="1">
      <c r="A1406" s="99" t="s">
        <v>114</v>
      </c>
      <c r="B1406" s="116" t="s">
        <v>181</v>
      </c>
      <c r="C1406" s="106"/>
      <c r="D1406" s="106"/>
      <c r="E1406" s="106"/>
      <c r="F1406" s="599"/>
      <c r="G1406" s="99" t="s">
        <v>115</v>
      </c>
      <c r="H1406" s="116" t="s">
        <v>211</v>
      </c>
      <c r="I1406" s="106"/>
      <c r="J1406" s="106"/>
      <c r="K1406" s="106"/>
      <c r="L1406" s="599"/>
    </row>
    <row r="1407" spans="1:12" s="90" customFormat="1" ht="12.75" customHeight="1">
      <c r="A1407" s="112" t="s">
        <v>45</v>
      </c>
      <c r="B1407" s="100" t="s">
        <v>118</v>
      </c>
      <c r="C1407" s="101"/>
      <c r="D1407" s="101"/>
      <c r="E1407" s="101"/>
      <c r="F1407" s="102"/>
      <c r="G1407" s="112" t="s">
        <v>45</v>
      </c>
      <c r="H1407" s="100" t="s">
        <v>130</v>
      </c>
      <c r="I1407" s="101"/>
      <c r="J1407" s="101"/>
      <c r="K1407" s="101"/>
      <c r="L1407" s="102"/>
    </row>
    <row r="1408" spans="1:12" s="90" customFormat="1" ht="12.75" customHeight="1">
      <c r="A1408" s="112" t="s">
        <v>111</v>
      </c>
      <c r="B1408" s="100" t="s">
        <v>106</v>
      </c>
      <c r="C1408" s="106"/>
      <c r="D1408" s="106"/>
      <c r="E1408" s="106"/>
      <c r="F1408" s="599"/>
      <c r="G1408" s="112" t="s">
        <v>111</v>
      </c>
      <c r="H1408" s="100" t="s">
        <v>131</v>
      </c>
      <c r="I1408" s="106"/>
      <c r="J1408" s="106"/>
      <c r="K1408" s="106"/>
      <c r="L1408" s="599"/>
    </row>
    <row r="1409" spans="1:12" s="90" customFormat="1" ht="12.75" customHeight="1">
      <c r="A1409" s="112" t="s">
        <v>112</v>
      </c>
      <c r="B1409" s="100" t="s">
        <v>39</v>
      </c>
      <c r="C1409" s="106"/>
      <c r="D1409" s="106"/>
      <c r="E1409" s="106"/>
      <c r="F1409" s="599"/>
      <c r="G1409" s="112" t="s">
        <v>112</v>
      </c>
      <c r="H1409" s="100" t="s">
        <v>87</v>
      </c>
      <c r="I1409" s="106"/>
      <c r="J1409" s="106"/>
      <c r="K1409" s="106"/>
      <c r="L1409" s="599"/>
    </row>
    <row r="1410" spans="1:12" s="90" customFormat="1" ht="12.75" customHeight="1">
      <c r="A1410" s="112" t="s">
        <v>113</v>
      </c>
      <c r="B1410" s="100" t="s">
        <v>201</v>
      </c>
      <c r="C1410" s="106"/>
      <c r="D1410" s="106"/>
      <c r="E1410" s="106"/>
      <c r="F1410" s="599"/>
      <c r="G1410" s="112" t="s">
        <v>113</v>
      </c>
      <c r="H1410" s="100" t="s">
        <v>90</v>
      </c>
      <c r="I1410" s="106"/>
      <c r="J1410" s="106"/>
      <c r="K1410" s="106"/>
      <c r="L1410" s="599"/>
    </row>
    <row r="1411" spans="1:12" s="90" customFormat="1" ht="12.75" customHeight="1">
      <c r="A1411" s="112" t="s">
        <v>56</v>
      </c>
      <c r="B1411" s="100" t="s">
        <v>126</v>
      </c>
      <c r="C1411" s="101">
        <v>2752465</v>
      </c>
      <c r="D1411" s="101">
        <v>2752465</v>
      </c>
      <c r="E1411" s="101">
        <v>2752465</v>
      </c>
      <c r="F1411" s="102">
        <f>+E1411/D1411</f>
        <v>1</v>
      </c>
      <c r="G1411" s="112" t="s">
        <v>56</v>
      </c>
      <c r="H1411" s="100" t="s">
        <v>132</v>
      </c>
      <c r="I1411" s="101"/>
      <c r="J1411" s="101"/>
      <c r="K1411" s="101"/>
      <c r="L1411" s="102"/>
    </row>
    <row r="1412" spans="1:12" s="90" customFormat="1" ht="12.75" customHeight="1">
      <c r="A1412" s="99" t="s">
        <v>64</v>
      </c>
      <c r="B1412" s="116" t="s">
        <v>127</v>
      </c>
      <c r="C1412" s="101"/>
      <c r="D1412" s="101"/>
      <c r="E1412" s="101"/>
      <c r="F1412" s="102"/>
      <c r="G1412" s="99" t="s">
        <v>64</v>
      </c>
      <c r="H1412" s="116" t="s">
        <v>133</v>
      </c>
      <c r="I1412" s="101"/>
      <c r="J1412" s="101"/>
      <c r="K1412" s="101"/>
      <c r="L1412" s="102"/>
    </row>
    <row r="1413" spans="1:12" s="124" customFormat="1" ht="12.75" customHeight="1" thickBot="1">
      <c r="A1413" s="117"/>
      <c r="B1413" s="118" t="s">
        <v>148</v>
      </c>
      <c r="C1413" s="88">
        <f>+C1401+C1407+C1411+C1412</f>
        <v>2752465</v>
      </c>
      <c r="D1413" s="88">
        <f>+D1401+D1407+D1411+D1412</f>
        <v>2752465</v>
      </c>
      <c r="E1413" s="88">
        <f>+E1401+E1407+E1411+E1412</f>
        <v>2752465</v>
      </c>
      <c r="F1413" s="119">
        <f>+E1413/D1413</f>
        <v>1</v>
      </c>
      <c r="G1413" s="117"/>
      <c r="H1413" s="118" t="s">
        <v>149</v>
      </c>
      <c r="I1413" s="88">
        <f>I1401+I1407+I1411+I1412</f>
        <v>2752465</v>
      </c>
      <c r="J1413" s="88">
        <f>J1401+J1407+J1411+J1412</f>
        <v>2752465</v>
      </c>
      <c r="K1413" s="88">
        <f>K1401+K1407+K1411+K1412</f>
        <v>1062082</v>
      </c>
      <c r="L1413" s="119">
        <f>+K1413/J1413</f>
        <v>0.3858657603275609</v>
      </c>
    </row>
    <row r="1414" spans="1:12" s="126" customFormat="1" ht="12.75" customHeight="1">
      <c r="A1414" s="124"/>
      <c r="B1414" s="124"/>
      <c r="C1414" s="93"/>
      <c r="D1414" s="93"/>
      <c r="E1414" s="93"/>
      <c r="F1414" s="93"/>
      <c r="G1414" s="124"/>
      <c r="H1414" s="124"/>
      <c r="I1414" s="93"/>
      <c r="J1414" s="93"/>
      <c r="K1414" s="93"/>
      <c r="L1414" s="93"/>
    </row>
    <row r="1415" spans="1:12" s="90" customFormat="1" ht="12.75" customHeight="1" thickBot="1">
      <c r="A1415" s="90" t="s">
        <v>825</v>
      </c>
      <c r="B1415" s="124"/>
      <c r="C1415" s="93"/>
      <c r="D1415" s="93"/>
      <c r="E1415" s="93"/>
      <c r="F1415" s="93"/>
      <c r="G1415" s="124"/>
      <c r="H1415" s="124"/>
      <c r="I1415" s="595"/>
      <c r="J1415" s="595"/>
      <c r="K1415" s="93"/>
      <c r="L1415" s="596" t="s">
        <v>216</v>
      </c>
    </row>
    <row r="1416" spans="1:12" s="90" customFormat="1" ht="24.75" customHeight="1">
      <c r="A1416" s="96"/>
      <c r="B1416" s="97" t="s">
        <v>104</v>
      </c>
      <c r="C1416" s="86" t="s">
        <v>227</v>
      </c>
      <c r="D1416" s="86" t="s">
        <v>844</v>
      </c>
      <c r="E1416" s="86" t="s">
        <v>303</v>
      </c>
      <c r="F1416" s="87" t="s">
        <v>304</v>
      </c>
      <c r="G1416" s="96">
        <v>102</v>
      </c>
      <c r="H1416" s="97" t="s">
        <v>105</v>
      </c>
      <c r="I1416" s="86" t="s">
        <v>227</v>
      </c>
      <c r="J1416" s="86" t="s">
        <v>844</v>
      </c>
      <c r="K1416" s="86" t="s">
        <v>303</v>
      </c>
      <c r="L1416" s="87" t="s">
        <v>304</v>
      </c>
    </row>
    <row r="1417" spans="1:12" s="90" customFormat="1" ht="12.75" customHeight="1">
      <c r="A1417" s="99" t="s">
        <v>23</v>
      </c>
      <c r="B1417" s="100" t="s">
        <v>108</v>
      </c>
      <c r="C1417" s="101"/>
      <c r="D1417" s="101"/>
      <c r="E1417" s="101"/>
      <c r="F1417" s="102"/>
      <c r="G1417" s="99" t="s">
        <v>23</v>
      </c>
      <c r="H1417" s="100" t="s">
        <v>129</v>
      </c>
      <c r="I1417" s="101">
        <f>SUM(I1418:I1422)</f>
        <v>275214</v>
      </c>
      <c r="J1417" s="101">
        <f>SUM(J1418:J1422)</f>
        <v>275214</v>
      </c>
      <c r="K1417" s="101">
        <f>SUM(K1418:K1422)</f>
        <v>153040</v>
      </c>
      <c r="L1417" s="102">
        <f>+K1417/J1417</f>
        <v>0.556076362394355</v>
      </c>
    </row>
    <row r="1418" spans="1:12" s="90" customFormat="1" ht="12.75" customHeight="1">
      <c r="A1418" s="99" t="s">
        <v>111</v>
      </c>
      <c r="B1418" s="116" t="s">
        <v>209</v>
      </c>
      <c r="C1418" s="106"/>
      <c r="D1418" s="106"/>
      <c r="E1418" s="106"/>
      <c r="F1418" s="599"/>
      <c r="G1418" s="99" t="s">
        <v>111</v>
      </c>
      <c r="H1418" s="116" t="s">
        <v>80</v>
      </c>
      <c r="I1418" s="106">
        <v>134354</v>
      </c>
      <c r="J1418" s="106">
        <v>130247</v>
      </c>
      <c r="K1418" s="106">
        <v>130247</v>
      </c>
      <c r="L1418" s="599">
        <f>+K1418/J1418</f>
        <v>1</v>
      </c>
    </row>
    <row r="1419" spans="1:12" s="90" customFormat="1" ht="12.75" customHeight="1">
      <c r="A1419" s="99"/>
      <c r="B1419" s="116" t="s">
        <v>210</v>
      </c>
      <c r="C1419" s="106"/>
      <c r="D1419" s="106"/>
      <c r="E1419" s="106"/>
      <c r="F1419" s="599"/>
      <c r="G1419" s="99" t="s">
        <v>112</v>
      </c>
      <c r="H1419" s="116" t="s">
        <v>147</v>
      </c>
      <c r="I1419" s="106">
        <v>23512</v>
      </c>
      <c r="J1419" s="106">
        <v>22793</v>
      </c>
      <c r="K1419" s="106">
        <v>22793</v>
      </c>
      <c r="L1419" s="599">
        <f>+K1419/J1419</f>
        <v>1</v>
      </c>
    </row>
    <row r="1420" spans="1:12" s="90" customFormat="1" ht="12.75" customHeight="1">
      <c r="A1420" s="99" t="s">
        <v>112</v>
      </c>
      <c r="B1420" s="116" t="s">
        <v>9</v>
      </c>
      <c r="C1420" s="106"/>
      <c r="D1420" s="106"/>
      <c r="E1420" s="106"/>
      <c r="F1420" s="599"/>
      <c r="G1420" s="99" t="s">
        <v>113</v>
      </c>
      <c r="H1420" s="116" t="s">
        <v>83</v>
      </c>
      <c r="I1420" s="106">
        <f>92400+24948</f>
        <v>117348</v>
      </c>
      <c r="J1420" s="106">
        <v>0</v>
      </c>
      <c r="K1420" s="106"/>
      <c r="L1420" s="599"/>
    </row>
    <row r="1421" spans="1:12" s="90" customFormat="1" ht="12.75" customHeight="1">
      <c r="A1421" s="99" t="s">
        <v>113</v>
      </c>
      <c r="B1421" s="116" t="s">
        <v>170</v>
      </c>
      <c r="C1421" s="106"/>
      <c r="D1421" s="106"/>
      <c r="E1421" s="106"/>
      <c r="F1421" s="599"/>
      <c r="G1421" s="99" t="s">
        <v>114</v>
      </c>
      <c r="H1421" s="116" t="s">
        <v>84</v>
      </c>
      <c r="I1421" s="106"/>
      <c r="J1421" s="106"/>
      <c r="K1421" s="106"/>
      <c r="L1421" s="599"/>
    </row>
    <row r="1422" spans="1:12" s="90" customFormat="1" ht="12.75" customHeight="1">
      <c r="A1422" s="99" t="s">
        <v>114</v>
      </c>
      <c r="B1422" s="116" t="s">
        <v>181</v>
      </c>
      <c r="C1422" s="106"/>
      <c r="D1422" s="106"/>
      <c r="E1422" s="106"/>
      <c r="F1422" s="599"/>
      <c r="G1422" s="99" t="s">
        <v>115</v>
      </c>
      <c r="H1422" s="116" t="s">
        <v>211</v>
      </c>
      <c r="I1422" s="106"/>
      <c r="J1422" s="106">
        <v>122174</v>
      </c>
      <c r="K1422" s="106">
        <v>0</v>
      </c>
      <c r="L1422" s="599">
        <f>+K1422/J1422</f>
        <v>0</v>
      </c>
    </row>
    <row r="1423" spans="1:12" s="90" customFormat="1" ht="12.75" customHeight="1">
      <c r="A1423" s="112" t="s">
        <v>45</v>
      </c>
      <c r="B1423" s="100" t="s">
        <v>118</v>
      </c>
      <c r="C1423" s="101"/>
      <c r="D1423" s="101"/>
      <c r="E1423" s="101"/>
      <c r="F1423" s="102"/>
      <c r="G1423" s="112" t="s">
        <v>45</v>
      </c>
      <c r="H1423" s="100" t="s">
        <v>130</v>
      </c>
      <c r="I1423" s="101"/>
      <c r="J1423" s="101"/>
      <c r="K1423" s="101"/>
      <c r="L1423" s="102"/>
    </row>
    <row r="1424" spans="1:12" s="90" customFormat="1" ht="12.75" customHeight="1">
      <c r="A1424" s="112" t="s">
        <v>111</v>
      </c>
      <c r="B1424" s="100" t="s">
        <v>106</v>
      </c>
      <c r="C1424" s="106"/>
      <c r="D1424" s="106"/>
      <c r="E1424" s="106"/>
      <c r="F1424" s="599"/>
      <c r="G1424" s="112" t="s">
        <v>111</v>
      </c>
      <c r="H1424" s="100" t="s">
        <v>131</v>
      </c>
      <c r="I1424" s="106"/>
      <c r="J1424" s="106"/>
      <c r="K1424" s="106"/>
      <c r="L1424" s="599"/>
    </row>
    <row r="1425" spans="1:12" s="90" customFormat="1" ht="12.75" customHeight="1">
      <c r="A1425" s="112" t="s">
        <v>112</v>
      </c>
      <c r="B1425" s="100" t="s">
        <v>39</v>
      </c>
      <c r="C1425" s="106"/>
      <c r="D1425" s="106"/>
      <c r="E1425" s="106"/>
      <c r="F1425" s="599"/>
      <c r="G1425" s="112" t="s">
        <v>112</v>
      </c>
      <c r="H1425" s="100" t="s">
        <v>87</v>
      </c>
      <c r="I1425" s="106"/>
      <c r="J1425" s="106"/>
      <c r="K1425" s="106"/>
      <c r="L1425" s="599"/>
    </row>
    <row r="1426" spans="1:12" s="90" customFormat="1" ht="12.75" customHeight="1">
      <c r="A1426" s="112" t="s">
        <v>113</v>
      </c>
      <c r="B1426" s="100" t="s">
        <v>201</v>
      </c>
      <c r="C1426" s="106"/>
      <c r="D1426" s="106"/>
      <c r="E1426" s="106"/>
      <c r="F1426" s="599"/>
      <c r="G1426" s="112" t="s">
        <v>113</v>
      </c>
      <c r="H1426" s="100" t="s">
        <v>90</v>
      </c>
      <c r="I1426" s="106"/>
      <c r="J1426" s="106"/>
      <c r="K1426" s="106"/>
      <c r="L1426" s="599"/>
    </row>
    <row r="1427" spans="1:12" s="90" customFormat="1" ht="12.75" customHeight="1">
      <c r="A1427" s="112" t="s">
        <v>56</v>
      </c>
      <c r="B1427" s="100" t="s">
        <v>126</v>
      </c>
      <c r="C1427" s="101">
        <v>275214</v>
      </c>
      <c r="D1427" s="101">
        <v>275214</v>
      </c>
      <c r="E1427" s="101">
        <v>275214</v>
      </c>
      <c r="F1427" s="102">
        <f>+E1427/D1427</f>
        <v>1</v>
      </c>
      <c r="G1427" s="112" t="s">
        <v>56</v>
      </c>
      <c r="H1427" s="100" t="s">
        <v>132</v>
      </c>
      <c r="I1427" s="101"/>
      <c r="J1427" s="101"/>
      <c r="K1427" s="101"/>
      <c r="L1427" s="102"/>
    </row>
    <row r="1428" spans="1:12" s="90" customFormat="1" ht="12.75" customHeight="1">
      <c r="A1428" s="99" t="s">
        <v>64</v>
      </c>
      <c r="B1428" s="116" t="s">
        <v>127</v>
      </c>
      <c r="C1428" s="101"/>
      <c r="D1428" s="101"/>
      <c r="E1428" s="101"/>
      <c r="F1428" s="102"/>
      <c r="G1428" s="99" t="s">
        <v>64</v>
      </c>
      <c r="H1428" s="116" t="s">
        <v>133</v>
      </c>
      <c r="I1428" s="101"/>
      <c r="J1428" s="101"/>
      <c r="K1428" s="101"/>
      <c r="L1428" s="102"/>
    </row>
    <row r="1429" spans="1:12" s="124" customFormat="1" ht="12.75" customHeight="1" thickBot="1">
      <c r="A1429" s="117"/>
      <c r="B1429" s="118" t="s">
        <v>148</v>
      </c>
      <c r="C1429" s="88">
        <f>+C1417+C1423+C1427+C1428</f>
        <v>275214</v>
      </c>
      <c r="D1429" s="88">
        <f>+D1417+D1423+D1427+D1428</f>
        <v>275214</v>
      </c>
      <c r="E1429" s="88">
        <f>+E1417+E1423+E1427+E1428</f>
        <v>275214</v>
      </c>
      <c r="F1429" s="119">
        <f>+E1429/D1429</f>
        <v>1</v>
      </c>
      <c r="G1429" s="117"/>
      <c r="H1429" s="118" t="s">
        <v>149</v>
      </c>
      <c r="I1429" s="88">
        <f>I1417+I1423+I1427+I1428</f>
        <v>275214</v>
      </c>
      <c r="J1429" s="88">
        <f>J1417+J1423+J1427+J1428</f>
        <v>275214</v>
      </c>
      <c r="K1429" s="88">
        <f>K1417+K1423+K1427+K1428</f>
        <v>153040</v>
      </c>
      <c r="L1429" s="119">
        <f>+K1429/J1429</f>
        <v>0.556076362394355</v>
      </c>
    </row>
    <row r="1430" spans="1:12" s="126" customFormat="1" ht="12.75" customHeight="1">
      <c r="A1430" s="124"/>
      <c r="B1430" s="124"/>
      <c r="C1430" s="93"/>
      <c r="D1430" s="93"/>
      <c r="E1430" s="93"/>
      <c r="F1430" s="93"/>
      <c r="G1430" s="124"/>
      <c r="H1430" s="124"/>
      <c r="I1430" s="93"/>
      <c r="J1430" s="93"/>
      <c r="K1430" s="93"/>
      <c r="L1430" s="93"/>
    </row>
    <row r="1431" spans="1:12" s="90" customFormat="1" ht="12.75" customHeight="1" thickBot="1">
      <c r="A1431" s="90" t="s">
        <v>826</v>
      </c>
      <c r="B1431" s="124"/>
      <c r="C1431" s="93"/>
      <c r="D1431" s="93"/>
      <c r="E1431" s="93"/>
      <c r="F1431" s="93"/>
      <c r="G1431" s="124"/>
      <c r="H1431" s="124"/>
      <c r="I1431" s="595"/>
      <c r="J1431" s="595"/>
      <c r="K1431" s="93"/>
      <c r="L1431" s="596" t="s">
        <v>216</v>
      </c>
    </row>
    <row r="1432" spans="1:12" s="90" customFormat="1" ht="24.75" customHeight="1">
      <c r="A1432" s="96"/>
      <c r="B1432" s="97" t="s">
        <v>104</v>
      </c>
      <c r="C1432" s="86" t="s">
        <v>227</v>
      </c>
      <c r="D1432" s="86" t="s">
        <v>844</v>
      </c>
      <c r="E1432" s="86" t="s">
        <v>303</v>
      </c>
      <c r="F1432" s="87" t="s">
        <v>304</v>
      </c>
      <c r="G1432" s="96">
        <v>103</v>
      </c>
      <c r="H1432" s="97" t="s">
        <v>105</v>
      </c>
      <c r="I1432" s="86" t="s">
        <v>227</v>
      </c>
      <c r="J1432" s="86" t="s">
        <v>844</v>
      </c>
      <c r="K1432" s="86" t="s">
        <v>303</v>
      </c>
      <c r="L1432" s="87" t="s">
        <v>304</v>
      </c>
    </row>
    <row r="1433" spans="1:12" s="90" customFormat="1" ht="12.75" customHeight="1">
      <c r="A1433" s="99" t="s">
        <v>23</v>
      </c>
      <c r="B1433" s="100" t="s">
        <v>108</v>
      </c>
      <c r="C1433" s="101"/>
      <c r="D1433" s="101"/>
      <c r="E1433" s="101"/>
      <c r="F1433" s="102"/>
      <c r="G1433" s="99" t="s">
        <v>23</v>
      </c>
      <c r="H1433" s="100" t="s">
        <v>129</v>
      </c>
      <c r="I1433" s="101">
        <f>SUM(I1434:I1438)</f>
        <v>565974</v>
      </c>
      <c r="J1433" s="101">
        <f>SUM(J1434:J1438)</f>
        <v>565974</v>
      </c>
      <c r="K1433" s="101">
        <f>SUM(K1434:K1438)</f>
        <v>565974</v>
      </c>
      <c r="L1433" s="102">
        <f>+K1433/J1433</f>
        <v>1</v>
      </c>
    </row>
    <row r="1434" spans="1:12" s="90" customFormat="1" ht="12.75" customHeight="1">
      <c r="A1434" s="99" t="s">
        <v>111</v>
      </c>
      <c r="B1434" s="116" t="s">
        <v>209</v>
      </c>
      <c r="C1434" s="106"/>
      <c r="D1434" s="106"/>
      <c r="E1434" s="106"/>
      <c r="F1434" s="599"/>
      <c r="G1434" s="99" t="s">
        <v>111</v>
      </c>
      <c r="H1434" s="116" t="s">
        <v>80</v>
      </c>
      <c r="I1434" s="106"/>
      <c r="J1434" s="106"/>
      <c r="K1434" s="106"/>
      <c r="L1434" s="599"/>
    </row>
    <row r="1435" spans="1:12" s="90" customFormat="1" ht="12.75" customHeight="1">
      <c r="A1435" s="99"/>
      <c r="B1435" s="116" t="s">
        <v>210</v>
      </c>
      <c r="C1435" s="106"/>
      <c r="D1435" s="106"/>
      <c r="E1435" s="106"/>
      <c r="F1435" s="599"/>
      <c r="G1435" s="99" t="s">
        <v>112</v>
      </c>
      <c r="H1435" s="116" t="s">
        <v>147</v>
      </c>
      <c r="I1435" s="106"/>
      <c r="J1435" s="106"/>
      <c r="K1435" s="106"/>
      <c r="L1435" s="599"/>
    </row>
    <row r="1436" spans="1:12" s="90" customFormat="1" ht="12.75" customHeight="1">
      <c r="A1436" s="99" t="s">
        <v>112</v>
      </c>
      <c r="B1436" s="116" t="s">
        <v>9</v>
      </c>
      <c r="C1436" s="106"/>
      <c r="D1436" s="106"/>
      <c r="E1436" s="106"/>
      <c r="F1436" s="599"/>
      <c r="G1436" s="99" t="s">
        <v>113</v>
      </c>
      <c r="H1436" s="116" t="s">
        <v>83</v>
      </c>
      <c r="I1436" s="106">
        <v>482600</v>
      </c>
      <c r="J1436" s="106">
        <v>482600</v>
      </c>
      <c r="K1436" s="106">
        <v>482600</v>
      </c>
      <c r="L1436" s="599">
        <f>+K1436/J1436</f>
        <v>1</v>
      </c>
    </row>
    <row r="1437" spans="1:12" s="90" customFormat="1" ht="12.75" customHeight="1">
      <c r="A1437" s="99" t="s">
        <v>113</v>
      </c>
      <c r="B1437" s="116" t="s">
        <v>170</v>
      </c>
      <c r="C1437" s="106"/>
      <c r="D1437" s="106"/>
      <c r="E1437" s="106"/>
      <c r="F1437" s="599"/>
      <c r="G1437" s="99" t="s">
        <v>114</v>
      </c>
      <c r="H1437" s="116" t="s">
        <v>84</v>
      </c>
      <c r="I1437" s="106"/>
      <c r="J1437" s="106"/>
      <c r="K1437" s="106"/>
      <c r="L1437" s="599"/>
    </row>
    <row r="1438" spans="1:12" s="90" customFormat="1" ht="12.75" customHeight="1">
      <c r="A1438" s="99" t="s">
        <v>114</v>
      </c>
      <c r="B1438" s="116" t="s">
        <v>181</v>
      </c>
      <c r="C1438" s="106"/>
      <c r="D1438" s="106"/>
      <c r="E1438" s="106"/>
      <c r="F1438" s="599"/>
      <c r="G1438" s="99" t="s">
        <v>115</v>
      </c>
      <c r="H1438" s="116" t="s">
        <v>211</v>
      </c>
      <c r="I1438" s="106">
        <v>83374</v>
      </c>
      <c r="J1438" s="106">
        <v>83374</v>
      </c>
      <c r="K1438" s="106">
        <v>83374</v>
      </c>
      <c r="L1438" s="599">
        <f>+K1438/J1438</f>
        <v>1</v>
      </c>
    </row>
    <row r="1439" spans="1:12" s="90" customFormat="1" ht="12.75" customHeight="1">
      <c r="A1439" s="112" t="s">
        <v>45</v>
      </c>
      <c r="B1439" s="100" t="s">
        <v>118</v>
      </c>
      <c r="C1439" s="101"/>
      <c r="D1439" s="101"/>
      <c r="E1439" s="101"/>
      <c r="F1439" s="102"/>
      <c r="G1439" s="112" t="s">
        <v>45</v>
      </c>
      <c r="H1439" s="100" t="s">
        <v>130</v>
      </c>
      <c r="I1439" s="101"/>
      <c r="J1439" s="101"/>
      <c r="K1439" s="101"/>
      <c r="L1439" s="102"/>
    </row>
    <row r="1440" spans="1:12" s="90" customFormat="1" ht="12.75" customHeight="1">
      <c r="A1440" s="112" t="s">
        <v>111</v>
      </c>
      <c r="B1440" s="100" t="s">
        <v>106</v>
      </c>
      <c r="C1440" s="106"/>
      <c r="D1440" s="106"/>
      <c r="E1440" s="106"/>
      <c r="F1440" s="599"/>
      <c r="G1440" s="112" t="s">
        <v>111</v>
      </c>
      <c r="H1440" s="100" t="s">
        <v>131</v>
      </c>
      <c r="I1440" s="106"/>
      <c r="J1440" s="106"/>
      <c r="K1440" s="106"/>
      <c r="L1440" s="599"/>
    </row>
    <row r="1441" spans="1:12" s="90" customFormat="1" ht="12.75" customHeight="1">
      <c r="A1441" s="112" t="s">
        <v>112</v>
      </c>
      <c r="B1441" s="100" t="s">
        <v>39</v>
      </c>
      <c r="C1441" s="106"/>
      <c r="D1441" s="106"/>
      <c r="E1441" s="106"/>
      <c r="F1441" s="599"/>
      <c r="G1441" s="112" t="s">
        <v>112</v>
      </c>
      <c r="H1441" s="100" t="s">
        <v>87</v>
      </c>
      <c r="I1441" s="106"/>
      <c r="J1441" s="106"/>
      <c r="K1441" s="106"/>
      <c r="L1441" s="599"/>
    </row>
    <row r="1442" spans="1:12" s="90" customFormat="1" ht="12.75" customHeight="1">
      <c r="A1442" s="112" t="s">
        <v>113</v>
      </c>
      <c r="B1442" s="100" t="s">
        <v>201</v>
      </c>
      <c r="C1442" s="106"/>
      <c r="D1442" s="106"/>
      <c r="E1442" s="106"/>
      <c r="F1442" s="599"/>
      <c r="G1442" s="112" t="s">
        <v>113</v>
      </c>
      <c r="H1442" s="100" t="s">
        <v>90</v>
      </c>
      <c r="I1442" s="106"/>
      <c r="J1442" s="106"/>
      <c r="K1442" s="106"/>
      <c r="L1442" s="599"/>
    </row>
    <row r="1443" spans="1:12" s="90" customFormat="1" ht="12.75" customHeight="1">
      <c r="A1443" s="112" t="s">
        <v>56</v>
      </c>
      <c r="B1443" s="100" t="s">
        <v>126</v>
      </c>
      <c r="C1443" s="101">
        <v>565974</v>
      </c>
      <c r="D1443" s="101">
        <v>565974</v>
      </c>
      <c r="E1443" s="101">
        <v>565974</v>
      </c>
      <c r="F1443" s="102">
        <f>+E1443/D1443</f>
        <v>1</v>
      </c>
      <c r="G1443" s="112" t="s">
        <v>56</v>
      </c>
      <c r="H1443" s="100" t="s">
        <v>132</v>
      </c>
      <c r="I1443" s="101"/>
      <c r="J1443" s="101"/>
      <c r="K1443" s="101"/>
      <c r="L1443" s="102"/>
    </row>
    <row r="1444" spans="1:12" s="90" customFormat="1" ht="12.75" customHeight="1">
      <c r="A1444" s="99" t="s">
        <v>64</v>
      </c>
      <c r="B1444" s="116" t="s">
        <v>127</v>
      </c>
      <c r="C1444" s="101"/>
      <c r="D1444" s="101"/>
      <c r="E1444" s="101"/>
      <c r="F1444" s="102"/>
      <c r="G1444" s="99" t="s">
        <v>64</v>
      </c>
      <c r="H1444" s="116" t="s">
        <v>133</v>
      </c>
      <c r="I1444" s="101"/>
      <c r="J1444" s="101"/>
      <c r="K1444" s="101"/>
      <c r="L1444" s="102"/>
    </row>
    <row r="1445" spans="1:12" s="124" customFormat="1" ht="12.75" customHeight="1" thickBot="1">
      <c r="A1445" s="117"/>
      <c r="B1445" s="118" t="s">
        <v>148</v>
      </c>
      <c r="C1445" s="88">
        <f>+C1433+C1439+C1443+C1444</f>
        <v>565974</v>
      </c>
      <c r="D1445" s="88">
        <f>+D1433+D1439+D1443+D1444</f>
        <v>565974</v>
      </c>
      <c r="E1445" s="88">
        <f>+E1433+E1439+E1443+E1444</f>
        <v>565974</v>
      </c>
      <c r="F1445" s="119">
        <f>+E1445/D1445</f>
        <v>1</v>
      </c>
      <c r="G1445" s="117"/>
      <c r="H1445" s="118" t="s">
        <v>149</v>
      </c>
      <c r="I1445" s="88">
        <f>I1433+I1439+I1443+I1444</f>
        <v>565974</v>
      </c>
      <c r="J1445" s="88">
        <f>J1433+J1439+J1443+J1444</f>
        <v>565974</v>
      </c>
      <c r="K1445" s="88">
        <f>K1433+K1439+K1443+K1444</f>
        <v>565974</v>
      </c>
      <c r="L1445" s="119">
        <f>+K1445/J1445</f>
        <v>1</v>
      </c>
    </row>
    <row r="1446" spans="1:12" s="126" customFormat="1" ht="25.5" customHeight="1">
      <c r="A1446" s="124"/>
      <c r="B1446" s="124"/>
      <c r="C1446" s="93"/>
      <c r="D1446" s="93"/>
      <c r="E1446" s="93"/>
      <c r="F1446" s="93"/>
      <c r="G1446" s="124"/>
      <c r="H1446" s="124"/>
      <c r="I1446" s="93"/>
      <c r="J1446" s="93"/>
      <c r="K1446" s="93"/>
      <c r="L1446" s="93"/>
    </row>
    <row r="1447" spans="1:12" s="90" customFormat="1" ht="12.75" customHeight="1" thickBot="1">
      <c r="A1447" s="90" t="s">
        <v>827</v>
      </c>
      <c r="B1447" s="124"/>
      <c r="C1447" s="93"/>
      <c r="D1447" s="93"/>
      <c r="E1447" s="93"/>
      <c r="F1447" s="93"/>
      <c r="G1447" s="124"/>
      <c r="H1447" s="124"/>
      <c r="I1447" s="595"/>
      <c r="J1447" s="595"/>
      <c r="K1447" s="93"/>
      <c r="L1447" s="596" t="s">
        <v>216</v>
      </c>
    </row>
    <row r="1448" spans="1:12" s="90" customFormat="1" ht="24.75" customHeight="1">
      <c r="A1448" s="96"/>
      <c r="B1448" s="97" t="s">
        <v>104</v>
      </c>
      <c r="C1448" s="86" t="s">
        <v>227</v>
      </c>
      <c r="D1448" s="86" t="s">
        <v>844</v>
      </c>
      <c r="E1448" s="86" t="s">
        <v>303</v>
      </c>
      <c r="F1448" s="87" t="s">
        <v>304</v>
      </c>
      <c r="G1448" s="96">
        <v>104</v>
      </c>
      <c r="H1448" s="97" t="s">
        <v>105</v>
      </c>
      <c r="I1448" s="86" t="s">
        <v>227</v>
      </c>
      <c r="J1448" s="86" t="s">
        <v>844</v>
      </c>
      <c r="K1448" s="86" t="s">
        <v>303</v>
      </c>
      <c r="L1448" s="87" t="s">
        <v>304</v>
      </c>
    </row>
    <row r="1449" spans="1:12" s="90" customFormat="1" ht="12.75" customHeight="1">
      <c r="A1449" s="99" t="s">
        <v>23</v>
      </c>
      <c r="B1449" s="100" t="s">
        <v>108</v>
      </c>
      <c r="C1449" s="101"/>
      <c r="D1449" s="101"/>
      <c r="E1449" s="101"/>
      <c r="F1449" s="102"/>
      <c r="G1449" s="99" t="s">
        <v>23</v>
      </c>
      <c r="H1449" s="100" t="s">
        <v>129</v>
      </c>
      <c r="I1449" s="101">
        <f>SUM(I1450:I1454)</f>
        <v>149884</v>
      </c>
      <c r="J1449" s="101">
        <f>SUM(J1450:J1454)</f>
        <v>149884</v>
      </c>
      <c r="K1449" s="101">
        <f>SUM(K1450:K1454)</f>
        <v>0</v>
      </c>
      <c r="L1449" s="102">
        <f>+K1449/J1449</f>
        <v>0</v>
      </c>
    </row>
    <row r="1450" spans="1:12" s="90" customFormat="1" ht="12.75" customHeight="1">
      <c r="A1450" s="99" t="s">
        <v>111</v>
      </c>
      <c r="B1450" s="116" t="s">
        <v>209</v>
      </c>
      <c r="C1450" s="106"/>
      <c r="D1450" s="106"/>
      <c r="E1450" s="106"/>
      <c r="F1450" s="599"/>
      <c r="G1450" s="99" t="s">
        <v>111</v>
      </c>
      <c r="H1450" s="116" t="s">
        <v>80</v>
      </c>
      <c r="I1450" s="106"/>
      <c r="J1450" s="106"/>
      <c r="K1450" s="106"/>
      <c r="L1450" s="599"/>
    </row>
    <row r="1451" spans="1:12" s="90" customFormat="1" ht="12.75" customHeight="1">
      <c r="A1451" s="99"/>
      <c r="B1451" s="116" t="s">
        <v>210</v>
      </c>
      <c r="C1451" s="106"/>
      <c r="D1451" s="106"/>
      <c r="E1451" s="106"/>
      <c r="F1451" s="599"/>
      <c r="G1451" s="99" t="s">
        <v>112</v>
      </c>
      <c r="H1451" s="116" t="s">
        <v>147</v>
      </c>
      <c r="I1451" s="106"/>
      <c r="J1451" s="106"/>
      <c r="K1451" s="106"/>
      <c r="L1451" s="599"/>
    </row>
    <row r="1452" spans="1:12" s="90" customFormat="1" ht="12.75" customHeight="1">
      <c r="A1452" s="99" t="s">
        <v>112</v>
      </c>
      <c r="B1452" s="116" t="s">
        <v>9</v>
      </c>
      <c r="C1452" s="106"/>
      <c r="D1452" s="106"/>
      <c r="E1452" s="106"/>
      <c r="F1452" s="599"/>
      <c r="G1452" s="99" t="s">
        <v>113</v>
      </c>
      <c r="H1452" s="116" t="s">
        <v>83</v>
      </c>
      <c r="I1452" s="106"/>
      <c r="J1452" s="106"/>
      <c r="K1452" s="106"/>
      <c r="L1452" s="599"/>
    </row>
    <row r="1453" spans="1:12" s="90" customFormat="1" ht="12.75" customHeight="1">
      <c r="A1453" s="99" t="s">
        <v>113</v>
      </c>
      <c r="B1453" s="116" t="s">
        <v>170</v>
      </c>
      <c r="C1453" s="106"/>
      <c r="D1453" s="106"/>
      <c r="E1453" s="106"/>
      <c r="F1453" s="599"/>
      <c r="G1453" s="99" t="s">
        <v>114</v>
      </c>
      <c r="H1453" s="116" t="s">
        <v>84</v>
      </c>
      <c r="I1453" s="106"/>
      <c r="J1453" s="106"/>
      <c r="K1453" s="106"/>
      <c r="L1453" s="599"/>
    </row>
    <row r="1454" spans="1:12" s="90" customFormat="1" ht="12.75" customHeight="1">
      <c r="A1454" s="99" t="s">
        <v>114</v>
      </c>
      <c r="B1454" s="116" t="s">
        <v>181</v>
      </c>
      <c r="C1454" s="106"/>
      <c r="D1454" s="106"/>
      <c r="E1454" s="106"/>
      <c r="F1454" s="599"/>
      <c r="G1454" s="99" t="s">
        <v>115</v>
      </c>
      <c r="H1454" s="116" t="s">
        <v>211</v>
      </c>
      <c r="I1454" s="106">
        <v>149884</v>
      </c>
      <c r="J1454" s="106">
        <v>149884</v>
      </c>
      <c r="K1454" s="106">
        <v>0</v>
      </c>
      <c r="L1454" s="599">
        <f>+K1454/J1454+IF(L1454=0/0,0%)</f>
        <v>0</v>
      </c>
    </row>
    <row r="1455" spans="1:12" s="90" customFormat="1" ht="12.75" customHeight="1">
      <c r="A1455" s="112" t="s">
        <v>45</v>
      </c>
      <c r="B1455" s="100" t="s">
        <v>118</v>
      </c>
      <c r="C1455" s="101"/>
      <c r="D1455" s="101"/>
      <c r="E1455" s="101"/>
      <c r="F1455" s="102"/>
      <c r="G1455" s="112" t="s">
        <v>45</v>
      </c>
      <c r="H1455" s="100" t="s">
        <v>130</v>
      </c>
      <c r="I1455" s="101"/>
      <c r="J1455" s="101"/>
      <c r="K1455" s="101"/>
      <c r="L1455" s="102"/>
    </row>
    <row r="1456" spans="1:12" s="90" customFormat="1" ht="12.75" customHeight="1">
      <c r="A1456" s="112" t="s">
        <v>111</v>
      </c>
      <c r="B1456" s="100" t="s">
        <v>106</v>
      </c>
      <c r="C1456" s="106"/>
      <c r="D1456" s="106"/>
      <c r="E1456" s="106"/>
      <c r="F1456" s="599"/>
      <c r="G1456" s="112" t="s">
        <v>111</v>
      </c>
      <c r="H1456" s="100" t="s">
        <v>131</v>
      </c>
      <c r="I1456" s="106"/>
      <c r="J1456" s="106"/>
      <c r="K1456" s="106"/>
      <c r="L1456" s="599"/>
    </row>
    <row r="1457" spans="1:12" s="90" customFormat="1" ht="12.75" customHeight="1">
      <c r="A1457" s="112" t="s">
        <v>112</v>
      </c>
      <c r="B1457" s="100" t="s">
        <v>39</v>
      </c>
      <c r="C1457" s="106"/>
      <c r="D1457" s="106"/>
      <c r="E1457" s="106"/>
      <c r="F1457" s="599"/>
      <c r="G1457" s="112" t="s">
        <v>112</v>
      </c>
      <c r="H1457" s="100" t="s">
        <v>87</v>
      </c>
      <c r="I1457" s="106"/>
      <c r="J1457" s="106"/>
      <c r="K1457" s="106"/>
      <c r="L1457" s="599"/>
    </row>
    <row r="1458" spans="1:12" s="90" customFormat="1" ht="12.75" customHeight="1">
      <c r="A1458" s="112" t="s">
        <v>113</v>
      </c>
      <c r="B1458" s="100" t="s">
        <v>201</v>
      </c>
      <c r="C1458" s="106"/>
      <c r="D1458" s="106"/>
      <c r="E1458" s="106"/>
      <c r="F1458" s="599"/>
      <c r="G1458" s="112" t="s">
        <v>113</v>
      </c>
      <c r="H1458" s="100" t="s">
        <v>90</v>
      </c>
      <c r="I1458" s="106"/>
      <c r="J1458" s="106"/>
      <c r="K1458" s="106"/>
      <c r="L1458" s="599"/>
    </row>
    <row r="1459" spans="1:12" s="90" customFormat="1" ht="12.75" customHeight="1">
      <c r="A1459" s="112" t="s">
        <v>56</v>
      </c>
      <c r="B1459" s="100" t="s">
        <v>126</v>
      </c>
      <c r="C1459" s="101">
        <v>149884</v>
      </c>
      <c r="D1459" s="101">
        <v>149884</v>
      </c>
      <c r="E1459" s="101">
        <v>149884</v>
      </c>
      <c r="F1459" s="102">
        <f>+E1459/D1459</f>
        <v>1</v>
      </c>
      <c r="G1459" s="112" t="s">
        <v>56</v>
      </c>
      <c r="H1459" s="100" t="s">
        <v>132</v>
      </c>
      <c r="I1459" s="101"/>
      <c r="J1459" s="101"/>
      <c r="K1459" s="101"/>
      <c r="L1459" s="102"/>
    </row>
    <row r="1460" spans="1:12" s="90" customFormat="1" ht="12.75" customHeight="1">
      <c r="A1460" s="99" t="s">
        <v>64</v>
      </c>
      <c r="B1460" s="116" t="s">
        <v>127</v>
      </c>
      <c r="C1460" s="101"/>
      <c r="D1460" s="101"/>
      <c r="E1460" s="101"/>
      <c r="F1460" s="102"/>
      <c r="G1460" s="99" t="s">
        <v>64</v>
      </c>
      <c r="H1460" s="116" t="s">
        <v>133</v>
      </c>
      <c r="I1460" s="101"/>
      <c r="J1460" s="101"/>
      <c r="K1460" s="101"/>
      <c r="L1460" s="102"/>
    </row>
    <row r="1461" spans="1:12" s="124" customFormat="1" ht="12.75" customHeight="1" thickBot="1">
      <c r="A1461" s="117"/>
      <c r="B1461" s="118" t="s">
        <v>148</v>
      </c>
      <c r="C1461" s="88">
        <f>+C1449+C1455+C1459+C1460</f>
        <v>149884</v>
      </c>
      <c r="D1461" s="88">
        <f>+D1449+D1455+D1459+D1460</f>
        <v>149884</v>
      </c>
      <c r="E1461" s="88">
        <f>+E1449+E1455+E1459+E1460</f>
        <v>149884</v>
      </c>
      <c r="F1461" s="119">
        <f>+E1461/D1461</f>
        <v>1</v>
      </c>
      <c r="G1461" s="117"/>
      <c r="H1461" s="118" t="s">
        <v>149</v>
      </c>
      <c r="I1461" s="88">
        <f>I1449+I1455+I1459+I1460</f>
        <v>149884</v>
      </c>
      <c r="J1461" s="88">
        <f>J1449+J1455+J1459+J1460</f>
        <v>149884</v>
      </c>
      <c r="K1461" s="88">
        <f>K1449+K1455+K1459+K1460</f>
        <v>0</v>
      </c>
      <c r="L1461" s="119">
        <f>+K1461/J1461</f>
        <v>0</v>
      </c>
    </row>
    <row r="1462" spans="1:12" s="126" customFormat="1" ht="12.75" customHeight="1">
      <c r="A1462" s="124"/>
      <c r="B1462" s="124"/>
      <c r="C1462" s="93"/>
      <c r="D1462" s="93"/>
      <c r="E1462" s="639"/>
      <c r="F1462" s="639"/>
      <c r="G1462" s="124"/>
      <c r="H1462" s="124"/>
      <c r="I1462" s="93"/>
      <c r="J1462" s="93"/>
      <c r="K1462" s="639"/>
      <c r="L1462" s="639"/>
    </row>
    <row r="1463" spans="1:12" s="90" customFormat="1" ht="12.75" customHeight="1" thickBot="1">
      <c r="A1463" s="90" t="s">
        <v>828</v>
      </c>
      <c r="B1463" s="124"/>
      <c r="C1463" s="93"/>
      <c r="D1463" s="93"/>
      <c r="E1463" s="93"/>
      <c r="F1463" s="93"/>
      <c r="G1463" s="124"/>
      <c r="H1463" s="124"/>
      <c r="I1463" s="595"/>
      <c r="J1463" s="595"/>
      <c r="K1463" s="93"/>
      <c r="L1463" s="596" t="s">
        <v>216</v>
      </c>
    </row>
    <row r="1464" spans="1:12" s="90" customFormat="1" ht="24.75" customHeight="1">
      <c r="A1464" s="96"/>
      <c r="B1464" s="97" t="s">
        <v>104</v>
      </c>
      <c r="C1464" s="86" t="s">
        <v>227</v>
      </c>
      <c r="D1464" s="86" t="s">
        <v>844</v>
      </c>
      <c r="E1464" s="86" t="s">
        <v>303</v>
      </c>
      <c r="F1464" s="87" t="s">
        <v>304</v>
      </c>
      <c r="G1464" s="96">
        <v>105</v>
      </c>
      <c r="H1464" s="97" t="s">
        <v>105</v>
      </c>
      <c r="I1464" s="86" t="s">
        <v>227</v>
      </c>
      <c r="J1464" s="86" t="s">
        <v>844</v>
      </c>
      <c r="K1464" s="86" t="s">
        <v>303</v>
      </c>
      <c r="L1464" s="87" t="s">
        <v>304</v>
      </c>
    </row>
    <row r="1465" spans="1:12" s="90" customFormat="1" ht="12.75" customHeight="1">
      <c r="A1465" s="99" t="s">
        <v>23</v>
      </c>
      <c r="B1465" s="100" t="s">
        <v>108</v>
      </c>
      <c r="C1465" s="101"/>
      <c r="D1465" s="101"/>
      <c r="E1465" s="101"/>
      <c r="F1465" s="102"/>
      <c r="G1465" s="99" t="s">
        <v>23</v>
      </c>
      <c r="H1465" s="100" t="s">
        <v>129</v>
      </c>
      <c r="I1465" s="101">
        <f>SUM(I1466:I1470)</f>
        <v>763855</v>
      </c>
      <c r="J1465" s="101">
        <f>SUM(J1466:J1470)</f>
        <v>763855</v>
      </c>
      <c r="K1465" s="101">
        <f>SUM(K1466:K1470)</f>
        <v>419203</v>
      </c>
      <c r="L1465" s="102">
        <f>+K1465/J1465</f>
        <v>0.5487991830910317</v>
      </c>
    </row>
    <row r="1466" spans="1:12" s="90" customFormat="1" ht="12.75" customHeight="1">
      <c r="A1466" s="99" t="s">
        <v>111</v>
      </c>
      <c r="B1466" s="116" t="s">
        <v>209</v>
      </c>
      <c r="C1466" s="106"/>
      <c r="D1466" s="106"/>
      <c r="E1466" s="106"/>
      <c r="F1466" s="599"/>
      <c r="G1466" s="99" t="s">
        <v>111</v>
      </c>
      <c r="H1466" s="116" t="s">
        <v>80</v>
      </c>
      <c r="I1466" s="106">
        <v>356768</v>
      </c>
      <c r="J1466" s="106">
        <v>356768</v>
      </c>
      <c r="K1466" s="106">
        <v>356768</v>
      </c>
      <c r="L1466" s="599">
        <f>+K1466/J1466</f>
        <v>1</v>
      </c>
    </row>
    <row r="1467" spans="1:12" s="90" customFormat="1" ht="12.75" customHeight="1">
      <c r="A1467" s="99"/>
      <c r="B1467" s="116" t="s">
        <v>210</v>
      </c>
      <c r="C1467" s="106"/>
      <c r="D1467" s="106"/>
      <c r="E1467" s="106"/>
      <c r="F1467" s="599"/>
      <c r="G1467" s="99" t="s">
        <v>112</v>
      </c>
      <c r="H1467" s="116" t="s">
        <v>147</v>
      </c>
      <c r="I1467" s="106">
        <v>62435</v>
      </c>
      <c r="J1467" s="106">
        <v>62435</v>
      </c>
      <c r="K1467" s="106">
        <v>62435</v>
      </c>
      <c r="L1467" s="599">
        <f>+K1467/J1467</f>
        <v>1</v>
      </c>
    </row>
    <row r="1468" spans="1:12" s="90" customFormat="1" ht="12.75" customHeight="1">
      <c r="A1468" s="99" t="s">
        <v>112</v>
      </c>
      <c r="B1468" s="116" t="s">
        <v>9</v>
      </c>
      <c r="C1468" s="106"/>
      <c r="D1468" s="106"/>
      <c r="E1468" s="106"/>
      <c r="F1468" s="599"/>
      <c r="G1468" s="99" t="s">
        <v>113</v>
      </c>
      <c r="H1468" s="116" t="s">
        <v>83</v>
      </c>
      <c r="I1468" s="106"/>
      <c r="J1468" s="106"/>
      <c r="K1468" s="106"/>
      <c r="L1468" s="599"/>
    </row>
    <row r="1469" spans="1:12" s="90" customFormat="1" ht="12.75" customHeight="1">
      <c r="A1469" s="99" t="s">
        <v>113</v>
      </c>
      <c r="B1469" s="116" t="s">
        <v>170</v>
      </c>
      <c r="C1469" s="106"/>
      <c r="D1469" s="106"/>
      <c r="E1469" s="106"/>
      <c r="F1469" s="599"/>
      <c r="G1469" s="99" t="s">
        <v>114</v>
      </c>
      <c r="H1469" s="116" t="s">
        <v>84</v>
      </c>
      <c r="I1469" s="106"/>
      <c r="J1469" s="106"/>
      <c r="K1469" s="106"/>
      <c r="L1469" s="599"/>
    </row>
    <row r="1470" spans="1:12" s="90" customFormat="1" ht="12.75" customHeight="1">
      <c r="A1470" s="99" t="s">
        <v>114</v>
      </c>
      <c r="B1470" s="116" t="s">
        <v>181</v>
      </c>
      <c r="C1470" s="106"/>
      <c r="D1470" s="106"/>
      <c r="E1470" s="106"/>
      <c r="F1470" s="599"/>
      <c r="G1470" s="99" t="s">
        <v>115</v>
      </c>
      <c r="H1470" s="116" t="s">
        <v>211</v>
      </c>
      <c r="I1470" s="106">
        <v>344652</v>
      </c>
      <c r="J1470" s="106">
        <v>344652</v>
      </c>
      <c r="K1470" s="106">
        <v>0</v>
      </c>
      <c r="L1470" s="599">
        <f>+K1470/J1470</f>
        <v>0</v>
      </c>
    </row>
    <row r="1471" spans="1:12" s="90" customFormat="1" ht="12.75" customHeight="1">
      <c r="A1471" s="112" t="s">
        <v>45</v>
      </c>
      <c r="B1471" s="100" t="s">
        <v>118</v>
      </c>
      <c r="C1471" s="101"/>
      <c r="D1471" s="101"/>
      <c r="E1471" s="101"/>
      <c r="F1471" s="102"/>
      <c r="G1471" s="112" t="s">
        <v>45</v>
      </c>
      <c r="H1471" s="100" t="s">
        <v>130</v>
      </c>
      <c r="I1471" s="101"/>
      <c r="J1471" s="101"/>
      <c r="K1471" s="101"/>
      <c r="L1471" s="102"/>
    </row>
    <row r="1472" spans="1:12" s="90" customFormat="1" ht="12.75" customHeight="1">
      <c r="A1472" s="112" t="s">
        <v>111</v>
      </c>
      <c r="B1472" s="100" t="s">
        <v>106</v>
      </c>
      <c r="C1472" s="106"/>
      <c r="D1472" s="106"/>
      <c r="E1472" s="106"/>
      <c r="F1472" s="599"/>
      <c r="G1472" s="112" t="s">
        <v>111</v>
      </c>
      <c r="H1472" s="100" t="s">
        <v>131</v>
      </c>
      <c r="I1472" s="106"/>
      <c r="J1472" s="106"/>
      <c r="K1472" s="106"/>
      <c r="L1472" s="599"/>
    </row>
    <row r="1473" spans="1:12" s="90" customFormat="1" ht="12.75" customHeight="1">
      <c r="A1473" s="112" t="s">
        <v>112</v>
      </c>
      <c r="B1473" s="100" t="s">
        <v>39</v>
      </c>
      <c r="C1473" s="106"/>
      <c r="D1473" s="106"/>
      <c r="E1473" s="106"/>
      <c r="F1473" s="599"/>
      <c r="G1473" s="112" t="s">
        <v>112</v>
      </c>
      <c r="H1473" s="100" t="s">
        <v>87</v>
      </c>
      <c r="I1473" s="106"/>
      <c r="J1473" s="106"/>
      <c r="K1473" s="106"/>
      <c r="L1473" s="599"/>
    </row>
    <row r="1474" spans="1:12" s="90" customFormat="1" ht="12.75" customHeight="1">
      <c r="A1474" s="112" t="s">
        <v>113</v>
      </c>
      <c r="B1474" s="100" t="s">
        <v>201</v>
      </c>
      <c r="C1474" s="106"/>
      <c r="D1474" s="106"/>
      <c r="E1474" s="106"/>
      <c r="F1474" s="599"/>
      <c r="G1474" s="112" t="s">
        <v>113</v>
      </c>
      <c r="H1474" s="100" t="s">
        <v>90</v>
      </c>
      <c r="I1474" s="106"/>
      <c r="J1474" s="106"/>
      <c r="K1474" s="106"/>
      <c r="L1474" s="599"/>
    </row>
    <row r="1475" spans="1:12" s="90" customFormat="1" ht="12.75" customHeight="1">
      <c r="A1475" s="112" t="s">
        <v>56</v>
      </c>
      <c r="B1475" s="100" t="s">
        <v>126</v>
      </c>
      <c r="C1475" s="101">
        <v>763855</v>
      </c>
      <c r="D1475" s="101">
        <v>763855</v>
      </c>
      <c r="E1475" s="101">
        <v>763855</v>
      </c>
      <c r="F1475" s="102">
        <f>+E1475/D1475</f>
        <v>1</v>
      </c>
      <c r="G1475" s="112" t="s">
        <v>56</v>
      </c>
      <c r="H1475" s="100" t="s">
        <v>132</v>
      </c>
      <c r="I1475" s="101"/>
      <c r="J1475" s="101"/>
      <c r="K1475" s="101"/>
      <c r="L1475" s="102"/>
    </row>
    <row r="1476" spans="1:12" s="90" customFormat="1" ht="12.75" customHeight="1">
      <c r="A1476" s="99" t="s">
        <v>64</v>
      </c>
      <c r="B1476" s="116" t="s">
        <v>127</v>
      </c>
      <c r="C1476" s="101"/>
      <c r="D1476" s="101"/>
      <c r="E1476" s="101"/>
      <c r="F1476" s="102"/>
      <c r="G1476" s="99" t="s">
        <v>64</v>
      </c>
      <c r="H1476" s="116" t="s">
        <v>133</v>
      </c>
      <c r="I1476" s="101"/>
      <c r="J1476" s="101"/>
      <c r="K1476" s="101"/>
      <c r="L1476" s="102"/>
    </row>
    <row r="1477" spans="1:12" s="124" customFormat="1" ht="12.75" customHeight="1" thickBot="1">
      <c r="A1477" s="117"/>
      <c r="B1477" s="118" t="s">
        <v>148</v>
      </c>
      <c r="C1477" s="88">
        <f>+C1465+C1471+C1475+C1476</f>
        <v>763855</v>
      </c>
      <c r="D1477" s="88">
        <f>+D1465+D1471+D1475+D1476</f>
        <v>763855</v>
      </c>
      <c r="E1477" s="88">
        <f>+E1465+E1471+E1475+E1476</f>
        <v>763855</v>
      </c>
      <c r="F1477" s="119">
        <f>+E1477/D1477</f>
        <v>1</v>
      </c>
      <c r="G1477" s="117"/>
      <c r="H1477" s="118" t="s">
        <v>149</v>
      </c>
      <c r="I1477" s="88">
        <f>I1465+I1471+I1475+I1476</f>
        <v>763855</v>
      </c>
      <c r="J1477" s="88">
        <f>J1465+J1471+J1475+J1476</f>
        <v>763855</v>
      </c>
      <c r="K1477" s="88">
        <f>K1465+K1471+K1475+K1476</f>
        <v>419203</v>
      </c>
      <c r="L1477" s="119">
        <f>+K1477/J1477</f>
        <v>0.5487991830910317</v>
      </c>
    </row>
    <row r="1478" spans="1:12" s="126" customFormat="1" ht="12.75" customHeight="1">
      <c r="A1478" s="124"/>
      <c r="B1478" s="124"/>
      <c r="C1478" s="93"/>
      <c r="D1478" s="93"/>
      <c r="E1478" s="595"/>
      <c r="F1478" s="595"/>
      <c r="G1478" s="124"/>
      <c r="H1478" s="124"/>
      <c r="I1478" s="93"/>
      <c r="J1478" s="93"/>
      <c r="K1478" s="595"/>
      <c r="L1478" s="595"/>
    </row>
    <row r="1479" spans="1:12" s="647" customFormat="1" ht="22.5" customHeight="1">
      <c r="A1479" s="645"/>
      <c r="B1479" s="645"/>
      <c r="C1479" s="646"/>
      <c r="D1479" s="646"/>
      <c r="E1479" s="646"/>
      <c r="F1479" s="646"/>
      <c r="G1479" s="645"/>
      <c r="H1479" s="645"/>
      <c r="I1479" s="646"/>
      <c r="J1479" s="646"/>
      <c r="K1479" s="646"/>
      <c r="L1479" s="646"/>
    </row>
    <row r="1480" spans="1:12" s="90" customFormat="1" ht="12.75" customHeight="1" thickBot="1">
      <c r="A1480" s="90" t="s">
        <v>829</v>
      </c>
      <c r="B1480" s="124"/>
      <c r="C1480" s="93"/>
      <c r="D1480" s="93"/>
      <c r="E1480" s="93"/>
      <c r="F1480" s="93"/>
      <c r="G1480" s="124"/>
      <c r="H1480" s="124"/>
      <c r="I1480" s="595"/>
      <c r="J1480" s="595"/>
      <c r="K1480" s="93"/>
      <c r="L1480" s="596" t="s">
        <v>216</v>
      </c>
    </row>
    <row r="1481" spans="1:12" s="90" customFormat="1" ht="24.75" customHeight="1">
      <c r="A1481" s="96"/>
      <c r="B1481" s="97" t="s">
        <v>104</v>
      </c>
      <c r="C1481" s="86" t="s">
        <v>227</v>
      </c>
      <c r="D1481" s="86" t="s">
        <v>844</v>
      </c>
      <c r="E1481" s="86" t="s">
        <v>303</v>
      </c>
      <c r="F1481" s="87" t="s">
        <v>304</v>
      </c>
      <c r="G1481" s="96">
        <v>108</v>
      </c>
      <c r="H1481" s="97" t="s">
        <v>105</v>
      </c>
      <c r="I1481" s="86" t="s">
        <v>227</v>
      </c>
      <c r="J1481" s="86" t="s">
        <v>844</v>
      </c>
      <c r="K1481" s="86" t="s">
        <v>303</v>
      </c>
      <c r="L1481" s="87" t="s">
        <v>304</v>
      </c>
    </row>
    <row r="1482" spans="1:12" s="90" customFormat="1" ht="12.75" customHeight="1">
      <c r="A1482" s="99" t="s">
        <v>23</v>
      </c>
      <c r="B1482" s="100" t="s">
        <v>108</v>
      </c>
      <c r="C1482" s="101"/>
      <c r="D1482" s="101"/>
      <c r="E1482" s="101"/>
      <c r="F1482" s="102"/>
      <c r="G1482" s="99" t="s">
        <v>23</v>
      </c>
      <c r="H1482" s="100" t="s">
        <v>129</v>
      </c>
      <c r="I1482" s="101">
        <f>SUM(I1483:I1487)</f>
        <v>117678</v>
      </c>
      <c r="J1482" s="101">
        <f>SUM(J1483:J1487)</f>
        <v>117678</v>
      </c>
      <c r="K1482" s="101">
        <f>SUM(K1483:K1487)</f>
        <v>0</v>
      </c>
      <c r="L1482" s="102">
        <f>+K1482/J1482</f>
        <v>0</v>
      </c>
    </row>
    <row r="1483" spans="1:12" s="90" customFormat="1" ht="12.75" customHeight="1">
      <c r="A1483" s="99" t="s">
        <v>111</v>
      </c>
      <c r="B1483" s="116" t="s">
        <v>209</v>
      </c>
      <c r="C1483" s="106"/>
      <c r="D1483" s="106"/>
      <c r="E1483" s="106"/>
      <c r="F1483" s="599"/>
      <c r="G1483" s="99" t="s">
        <v>111</v>
      </c>
      <c r="H1483" s="116" t="s">
        <v>80</v>
      </c>
      <c r="I1483" s="106"/>
      <c r="J1483" s="106"/>
      <c r="K1483" s="106"/>
      <c r="L1483" s="599"/>
    </row>
    <row r="1484" spans="1:12" s="90" customFormat="1" ht="12.75" customHeight="1">
      <c r="A1484" s="99"/>
      <c r="B1484" s="116" t="s">
        <v>210</v>
      </c>
      <c r="C1484" s="106"/>
      <c r="D1484" s="106"/>
      <c r="E1484" s="106"/>
      <c r="F1484" s="599"/>
      <c r="G1484" s="99" t="s">
        <v>112</v>
      </c>
      <c r="H1484" s="116" t="s">
        <v>147</v>
      </c>
      <c r="I1484" s="106"/>
      <c r="J1484" s="106"/>
      <c r="K1484" s="106"/>
      <c r="L1484" s="599"/>
    </row>
    <row r="1485" spans="1:12" s="90" customFormat="1" ht="12.75" customHeight="1">
      <c r="A1485" s="99" t="s">
        <v>112</v>
      </c>
      <c r="B1485" s="116" t="s">
        <v>9</v>
      </c>
      <c r="C1485" s="106"/>
      <c r="D1485" s="106"/>
      <c r="E1485" s="106"/>
      <c r="F1485" s="599"/>
      <c r="G1485" s="99" t="s">
        <v>113</v>
      </c>
      <c r="H1485" s="116" t="s">
        <v>83</v>
      </c>
      <c r="I1485" s="106"/>
      <c r="J1485" s="106"/>
      <c r="K1485" s="106"/>
      <c r="L1485" s="599"/>
    </row>
    <row r="1486" spans="1:12" s="90" customFormat="1" ht="12.75" customHeight="1">
      <c r="A1486" s="99" t="s">
        <v>113</v>
      </c>
      <c r="B1486" s="116" t="s">
        <v>170</v>
      </c>
      <c r="C1486" s="106"/>
      <c r="D1486" s="106"/>
      <c r="E1486" s="106"/>
      <c r="F1486" s="599"/>
      <c r="G1486" s="99" t="s">
        <v>114</v>
      </c>
      <c r="H1486" s="116" t="s">
        <v>84</v>
      </c>
      <c r="I1486" s="106"/>
      <c r="J1486" s="106"/>
      <c r="K1486" s="106"/>
      <c r="L1486" s="599"/>
    </row>
    <row r="1487" spans="1:12" s="90" customFormat="1" ht="12.75" customHeight="1">
      <c r="A1487" s="99" t="s">
        <v>114</v>
      </c>
      <c r="B1487" s="116" t="s">
        <v>181</v>
      </c>
      <c r="C1487" s="106"/>
      <c r="D1487" s="106"/>
      <c r="E1487" s="106"/>
      <c r="F1487" s="599"/>
      <c r="G1487" s="99" t="s">
        <v>115</v>
      </c>
      <c r="H1487" s="116" t="s">
        <v>211</v>
      </c>
      <c r="I1487" s="106">
        <v>117678</v>
      </c>
      <c r="J1487" s="106">
        <v>117678</v>
      </c>
      <c r="K1487" s="106">
        <v>0</v>
      </c>
      <c r="L1487" s="599">
        <f>+K1487/J1487+IF(L1487=0/0,0%)</f>
        <v>0</v>
      </c>
    </row>
    <row r="1488" spans="1:12" s="90" customFormat="1" ht="12.75" customHeight="1">
      <c r="A1488" s="112" t="s">
        <v>45</v>
      </c>
      <c r="B1488" s="100" t="s">
        <v>118</v>
      </c>
      <c r="C1488" s="101"/>
      <c r="D1488" s="101"/>
      <c r="E1488" s="101"/>
      <c r="F1488" s="102"/>
      <c r="G1488" s="112" t="s">
        <v>45</v>
      </c>
      <c r="H1488" s="100" t="s">
        <v>130</v>
      </c>
      <c r="I1488" s="101"/>
      <c r="J1488" s="101"/>
      <c r="K1488" s="101"/>
      <c r="L1488" s="102"/>
    </row>
    <row r="1489" spans="1:12" s="90" customFormat="1" ht="12.75" customHeight="1">
      <c r="A1489" s="112" t="s">
        <v>111</v>
      </c>
      <c r="B1489" s="100" t="s">
        <v>106</v>
      </c>
      <c r="C1489" s="106"/>
      <c r="D1489" s="106"/>
      <c r="E1489" s="106"/>
      <c r="F1489" s="599"/>
      <c r="G1489" s="112" t="s">
        <v>111</v>
      </c>
      <c r="H1489" s="100" t="s">
        <v>131</v>
      </c>
      <c r="I1489" s="106"/>
      <c r="J1489" s="106"/>
      <c r="K1489" s="106"/>
      <c r="L1489" s="599"/>
    </row>
    <row r="1490" spans="1:12" s="90" customFormat="1" ht="12.75" customHeight="1">
      <c r="A1490" s="112" t="s">
        <v>112</v>
      </c>
      <c r="B1490" s="100" t="s">
        <v>39</v>
      </c>
      <c r="C1490" s="106"/>
      <c r="D1490" s="106"/>
      <c r="E1490" s="106"/>
      <c r="F1490" s="599"/>
      <c r="G1490" s="112" t="s">
        <v>112</v>
      </c>
      <c r="H1490" s="100" t="s">
        <v>87</v>
      </c>
      <c r="I1490" s="106"/>
      <c r="J1490" s="106"/>
      <c r="K1490" s="106"/>
      <c r="L1490" s="599"/>
    </row>
    <row r="1491" spans="1:12" s="90" customFormat="1" ht="12.75" customHeight="1">
      <c r="A1491" s="112" t="s">
        <v>113</v>
      </c>
      <c r="B1491" s="100" t="s">
        <v>201</v>
      </c>
      <c r="C1491" s="106"/>
      <c r="D1491" s="106"/>
      <c r="E1491" s="106"/>
      <c r="F1491" s="599"/>
      <c r="G1491" s="112" t="s">
        <v>113</v>
      </c>
      <c r="H1491" s="100" t="s">
        <v>90</v>
      </c>
      <c r="I1491" s="106"/>
      <c r="J1491" s="106"/>
      <c r="K1491" s="106"/>
      <c r="L1491" s="599"/>
    </row>
    <row r="1492" spans="1:12" s="90" customFormat="1" ht="12.75" customHeight="1">
      <c r="A1492" s="112" t="s">
        <v>56</v>
      </c>
      <c r="B1492" s="100" t="s">
        <v>126</v>
      </c>
      <c r="C1492" s="101">
        <v>117678</v>
      </c>
      <c r="D1492" s="101">
        <v>117678</v>
      </c>
      <c r="E1492" s="101">
        <v>117678</v>
      </c>
      <c r="F1492" s="102">
        <f>+E1492/D1492</f>
        <v>1</v>
      </c>
      <c r="G1492" s="112" t="s">
        <v>56</v>
      </c>
      <c r="H1492" s="100" t="s">
        <v>132</v>
      </c>
      <c r="I1492" s="101"/>
      <c r="J1492" s="101"/>
      <c r="K1492" s="101"/>
      <c r="L1492" s="102"/>
    </row>
    <row r="1493" spans="1:12" s="90" customFormat="1" ht="12.75" customHeight="1">
      <c r="A1493" s="99" t="s">
        <v>64</v>
      </c>
      <c r="B1493" s="116" t="s">
        <v>127</v>
      </c>
      <c r="C1493" s="101"/>
      <c r="D1493" s="101"/>
      <c r="E1493" s="101"/>
      <c r="F1493" s="102"/>
      <c r="G1493" s="99" t="s">
        <v>64</v>
      </c>
      <c r="H1493" s="116" t="s">
        <v>133</v>
      </c>
      <c r="I1493" s="101"/>
      <c r="J1493" s="101"/>
      <c r="K1493" s="101"/>
      <c r="L1493" s="102"/>
    </row>
    <row r="1494" spans="1:12" s="124" customFormat="1" ht="12.75" customHeight="1" thickBot="1">
      <c r="A1494" s="117"/>
      <c r="B1494" s="118" t="s">
        <v>148</v>
      </c>
      <c r="C1494" s="88">
        <f>+C1482+C1488+C1492+C1493</f>
        <v>117678</v>
      </c>
      <c r="D1494" s="88">
        <f>+D1482+D1488+D1492+D1493</f>
        <v>117678</v>
      </c>
      <c r="E1494" s="88">
        <f>+E1482+E1488+E1492+E1493</f>
        <v>117678</v>
      </c>
      <c r="F1494" s="119">
        <f>+E1494/D1494</f>
        <v>1</v>
      </c>
      <c r="G1494" s="117"/>
      <c r="H1494" s="118" t="s">
        <v>149</v>
      </c>
      <c r="I1494" s="88">
        <f>I1482+I1488+I1492+I1493</f>
        <v>117678</v>
      </c>
      <c r="J1494" s="88">
        <f>J1482+J1488+J1492+J1493</f>
        <v>117678</v>
      </c>
      <c r="K1494" s="88">
        <f>K1482+K1488+K1492+K1493</f>
        <v>0</v>
      </c>
      <c r="L1494" s="119">
        <f>+K1494/J1494</f>
        <v>0</v>
      </c>
    </row>
    <row r="1495" spans="1:12" s="126" customFormat="1" ht="12.75" customHeight="1">
      <c r="A1495" s="124"/>
      <c r="B1495" s="124"/>
      <c r="C1495" s="93"/>
      <c r="D1495" s="93"/>
      <c r="E1495" s="93"/>
      <c r="F1495" s="93"/>
      <c r="G1495" s="124"/>
      <c r="H1495" s="124"/>
      <c r="I1495" s="93"/>
      <c r="J1495" s="93"/>
      <c r="K1495" s="93"/>
      <c r="L1495" s="93"/>
    </row>
    <row r="1496" spans="1:12" s="90" customFormat="1" ht="12.75" customHeight="1" thickBot="1">
      <c r="A1496" s="90" t="s">
        <v>830</v>
      </c>
      <c r="B1496" s="124"/>
      <c r="C1496" s="93"/>
      <c r="D1496" s="93"/>
      <c r="E1496" s="93"/>
      <c r="F1496" s="93"/>
      <c r="G1496" s="124"/>
      <c r="H1496" s="124"/>
      <c r="I1496" s="595"/>
      <c r="J1496" s="595"/>
      <c r="K1496" s="93"/>
      <c r="L1496" s="596" t="s">
        <v>216</v>
      </c>
    </row>
    <row r="1497" spans="1:12" s="90" customFormat="1" ht="24.75" customHeight="1">
      <c r="A1497" s="96"/>
      <c r="B1497" s="97" t="s">
        <v>104</v>
      </c>
      <c r="C1497" s="86" t="s">
        <v>227</v>
      </c>
      <c r="D1497" s="86" t="s">
        <v>844</v>
      </c>
      <c r="E1497" s="86" t="s">
        <v>303</v>
      </c>
      <c r="F1497" s="87" t="s">
        <v>304</v>
      </c>
      <c r="G1497" s="96">
        <v>109</v>
      </c>
      <c r="H1497" s="97" t="s">
        <v>105</v>
      </c>
      <c r="I1497" s="86" t="s">
        <v>227</v>
      </c>
      <c r="J1497" s="86" t="s">
        <v>844</v>
      </c>
      <c r="K1497" s="86" t="s">
        <v>303</v>
      </c>
      <c r="L1497" s="87" t="s">
        <v>304</v>
      </c>
    </row>
    <row r="1498" spans="1:12" s="90" customFormat="1" ht="12.75" customHeight="1">
      <c r="A1498" s="99" t="s">
        <v>23</v>
      </c>
      <c r="B1498" s="100" t="s">
        <v>108</v>
      </c>
      <c r="C1498" s="101"/>
      <c r="D1498" s="101"/>
      <c r="E1498" s="101"/>
      <c r="F1498" s="102"/>
      <c r="G1498" s="99" t="s">
        <v>23</v>
      </c>
      <c r="H1498" s="100" t="s">
        <v>129</v>
      </c>
      <c r="I1498" s="101">
        <f>SUM(I1499:I1503)</f>
        <v>49231668</v>
      </c>
      <c r="J1498" s="101">
        <f>SUM(J1499:J1503)</f>
        <v>49231668</v>
      </c>
      <c r="K1498" s="101">
        <f>SUM(K1499:K1503)</f>
        <v>1778172</v>
      </c>
      <c r="L1498" s="102">
        <f>+K1498/J1498</f>
        <v>0.036118459362376266</v>
      </c>
    </row>
    <row r="1499" spans="1:12" s="90" customFormat="1" ht="12.75" customHeight="1">
      <c r="A1499" s="99" t="s">
        <v>111</v>
      </c>
      <c r="B1499" s="116" t="s">
        <v>209</v>
      </c>
      <c r="C1499" s="106"/>
      <c r="D1499" s="106"/>
      <c r="E1499" s="106"/>
      <c r="F1499" s="599"/>
      <c r="G1499" s="99" t="s">
        <v>111</v>
      </c>
      <c r="H1499" s="116" t="s">
        <v>80</v>
      </c>
      <c r="I1499" s="106">
        <f>16891474+12724686</f>
        <v>29616160</v>
      </c>
      <c r="J1499" s="106">
        <f>16891474+12724686</f>
        <v>29616160</v>
      </c>
      <c r="K1499" s="106">
        <v>0</v>
      </c>
      <c r="L1499" s="599">
        <f>+K1499/J1499</f>
        <v>0</v>
      </c>
    </row>
    <row r="1500" spans="1:12" s="90" customFormat="1" ht="12.75" customHeight="1">
      <c r="A1500" s="99"/>
      <c r="B1500" s="116" t="s">
        <v>210</v>
      </c>
      <c r="C1500" s="106"/>
      <c r="D1500" s="106"/>
      <c r="E1500" s="106"/>
      <c r="F1500" s="599"/>
      <c r="G1500" s="99" t="s">
        <v>112</v>
      </c>
      <c r="H1500" s="116" t="s">
        <v>147</v>
      </c>
      <c r="I1500" s="106">
        <v>7108840</v>
      </c>
      <c r="J1500" s="106">
        <v>7108840</v>
      </c>
      <c r="K1500" s="106">
        <v>0</v>
      </c>
      <c r="L1500" s="599">
        <f>+K1500/J1500</f>
        <v>0</v>
      </c>
    </row>
    <row r="1501" spans="1:12" s="90" customFormat="1" ht="12.75" customHeight="1">
      <c r="A1501" s="99" t="s">
        <v>112</v>
      </c>
      <c r="B1501" s="116" t="s">
        <v>9</v>
      </c>
      <c r="C1501" s="106"/>
      <c r="D1501" s="106"/>
      <c r="E1501" s="106"/>
      <c r="F1501" s="599"/>
      <c r="G1501" s="99" t="s">
        <v>113</v>
      </c>
      <c r="H1501" s="116" t="s">
        <v>83</v>
      </c>
      <c r="I1501" s="106">
        <f>2137732+6107844+19000+4242092</f>
        <v>12506668</v>
      </c>
      <c r="J1501" s="106">
        <f>2137732+6107844+19000+4242092</f>
        <v>12506668</v>
      </c>
      <c r="K1501" s="106">
        <v>1778172</v>
      </c>
      <c r="L1501" s="599">
        <f>+K1501/J1501</f>
        <v>0.14217791661216242</v>
      </c>
    </row>
    <row r="1502" spans="1:12" s="90" customFormat="1" ht="12.75" customHeight="1">
      <c r="A1502" s="99" t="s">
        <v>113</v>
      </c>
      <c r="B1502" s="116" t="s">
        <v>170</v>
      </c>
      <c r="C1502" s="106"/>
      <c r="D1502" s="106"/>
      <c r="E1502" s="106"/>
      <c r="F1502" s="599"/>
      <c r="G1502" s="99" t="s">
        <v>114</v>
      </c>
      <c r="H1502" s="116" t="s">
        <v>84</v>
      </c>
      <c r="I1502" s="106"/>
      <c r="J1502" s="106"/>
      <c r="K1502" s="106"/>
      <c r="L1502" s="599"/>
    </row>
    <row r="1503" spans="1:12" s="90" customFormat="1" ht="12.75" customHeight="1">
      <c r="A1503" s="99" t="s">
        <v>114</v>
      </c>
      <c r="B1503" s="116" t="s">
        <v>181</v>
      </c>
      <c r="C1503" s="106"/>
      <c r="D1503" s="106"/>
      <c r="E1503" s="106"/>
      <c r="F1503" s="599"/>
      <c r="G1503" s="99" t="s">
        <v>115</v>
      </c>
      <c r="H1503" s="116" t="s">
        <v>211</v>
      </c>
      <c r="I1503" s="106"/>
      <c r="J1503" s="106"/>
      <c r="K1503" s="106"/>
      <c r="L1503" s="599"/>
    </row>
    <row r="1504" spans="1:12" s="90" customFormat="1" ht="12.75" customHeight="1">
      <c r="A1504" s="112" t="s">
        <v>45</v>
      </c>
      <c r="B1504" s="100" t="s">
        <v>118</v>
      </c>
      <c r="C1504" s="101"/>
      <c r="D1504" s="101"/>
      <c r="E1504" s="101"/>
      <c r="F1504" s="102"/>
      <c r="G1504" s="112" t="s">
        <v>45</v>
      </c>
      <c r="H1504" s="100" t="s">
        <v>130</v>
      </c>
      <c r="I1504" s="101"/>
      <c r="J1504" s="101"/>
      <c r="K1504" s="101"/>
      <c r="L1504" s="102"/>
    </row>
    <row r="1505" spans="1:12" s="90" customFormat="1" ht="12.75" customHeight="1">
      <c r="A1505" s="112" t="s">
        <v>111</v>
      </c>
      <c r="B1505" s="100" t="s">
        <v>106</v>
      </c>
      <c r="C1505" s="106"/>
      <c r="D1505" s="106"/>
      <c r="E1505" s="106"/>
      <c r="F1505" s="599"/>
      <c r="G1505" s="112" t="s">
        <v>111</v>
      </c>
      <c r="H1505" s="100" t="s">
        <v>131</v>
      </c>
      <c r="I1505" s="106"/>
      <c r="J1505" s="106"/>
      <c r="K1505" s="106"/>
      <c r="L1505" s="599"/>
    </row>
    <row r="1506" spans="1:12" s="90" customFormat="1" ht="12.75" customHeight="1">
      <c r="A1506" s="112" t="s">
        <v>112</v>
      </c>
      <c r="B1506" s="100" t="s">
        <v>39</v>
      </c>
      <c r="C1506" s="106"/>
      <c r="D1506" s="106"/>
      <c r="E1506" s="106"/>
      <c r="F1506" s="599"/>
      <c r="G1506" s="112" t="s">
        <v>112</v>
      </c>
      <c r="H1506" s="100" t="s">
        <v>87</v>
      </c>
      <c r="I1506" s="106"/>
      <c r="J1506" s="106"/>
      <c r="K1506" s="106"/>
      <c r="L1506" s="599"/>
    </row>
    <row r="1507" spans="1:12" s="90" customFormat="1" ht="12.75" customHeight="1">
      <c r="A1507" s="112" t="s">
        <v>113</v>
      </c>
      <c r="B1507" s="100" t="s">
        <v>201</v>
      </c>
      <c r="C1507" s="106"/>
      <c r="D1507" s="106"/>
      <c r="E1507" s="106"/>
      <c r="F1507" s="599"/>
      <c r="G1507" s="112" t="s">
        <v>113</v>
      </c>
      <c r="H1507" s="100" t="s">
        <v>90</v>
      </c>
      <c r="I1507" s="106"/>
      <c r="J1507" s="106"/>
      <c r="K1507" s="106"/>
      <c r="L1507" s="599"/>
    </row>
    <row r="1508" spans="1:12" s="90" customFormat="1" ht="12.75" customHeight="1">
      <c r="A1508" s="112" t="s">
        <v>56</v>
      </c>
      <c r="B1508" s="100" t="s">
        <v>126</v>
      </c>
      <c r="C1508" s="101">
        <v>49231668</v>
      </c>
      <c r="D1508" s="101">
        <v>49231668</v>
      </c>
      <c r="E1508" s="101">
        <v>49231668</v>
      </c>
      <c r="F1508" s="102">
        <f>+E1508/D1508</f>
        <v>1</v>
      </c>
      <c r="G1508" s="112" t="s">
        <v>56</v>
      </c>
      <c r="H1508" s="100" t="s">
        <v>132</v>
      </c>
      <c r="I1508" s="101"/>
      <c r="J1508" s="101"/>
      <c r="K1508" s="101"/>
      <c r="L1508" s="102"/>
    </row>
    <row r="1509" spans="1:12" s="90" customFormat="1" ht="12.75" customHeight="1">
      <c r="A1509" s="99" t="s">
        <v>64</v>
      </c>
      <c r="B1509" s="116" t="s">
        <v>127</v>
      </c>
      <c r="C1509" s="101"/>
      <c r="D1509" s="101"/>
      <c r="E1509" s="101"/>
      <c r="F1509" s="102"/>
      <c r="G1509" s="99" t="s">
        <v>64</v>
      </c>
      <c r="H1509" s="116" t="s">
        <v>133</v>
      </c>
      <c r="I1509" s="101"/>
      <c r="J1509" s="101"/>
      <c r="K1509" s="101"/>
      <c r="L1509" s="102"/>
    </row>
    <row r="1510" spans="1:12" s="124" customFormat="1" ht="12.75" customHeight="1" thickBot="1">
      <c r="A1510" s="117"/>
      <c r="B1510" s="118" t="s">
        <v>148</v>
      </c>
      <c r="C1510" s="88">
        <f>+C1498+C1504+C1508+C1509</f>
        <v>49231668</v>
      </c>
      <c r="D1510" s="88">
        <f>+D1498+D1504+D1508+D1509</f>
        <v>49231668</v>
      </c>
      <c r="E1510" s="88">
        <f>+E1498+E1504+E1508+E1509</f>
        <v>49231668</v>
      </c>
      <c r="F1510" s="119">
        <f>+E1510/D1510</f>
        <v>1</v>
      </c>
      <c r="G1510" s="117"/>
      <c r="H1510" s="118" t="s">
        <v>149</v>
      </c>
      <c r="I1510" s="88">
        <f>+I1509+I1508+I1504+I1498</f>
        <v>49231668</v>
      </c>
      <c r="J1510" s="88">
        <f>+J1509+J1508+J1504+J1498</f>
        <v>49231668</v>
      </c>
      <c r="K1510" s="88">
        <f>+K1509+K1508+K1504+K1498</f>
        <v>1778172</v>
      </c>
      <c r="L1510" s="119">
        <f>+K1510/J1510</f>
        <v>0.036118459362376266</v>
      </c>
    </row>
    <row r="1511" spans="1:12" s="126" customFormat="1" ht="12.75" customHeight="1">
      <c r="A1511" s="124"/>
      <c r="B1511" s="124"/>
      <c r="C1511" s="93"/>
      <c r="D1511" s="93"/>
      <c r="E1511" s="141"/>
      <c r="F1511" s="643"/>
      <c r="G1511" s="124"/>
      <c r="H1511" s="124"/>
      <c r="I1511" s="93"/>
      <c r="J1511" s="93"/>
      <c r="K1511" s="141"/>
      <c r="L1511" s="643"/>
    </row>
    <row r="1512" spans="1:12" s="90" customFormat="1" ht="12.75" customHeight="1" thickBot="1">
      <c r="A1512" s="90" t="s">
        <v>831</v>
      </c>
      <c r="B1512" s="124"/>
      <c r="C1512" s="93"/>
      <c r="D1512" s="93"/>
      <c r="E1512" s="93"/>
      <c r="F1512" s="93"/>
      <c r="G1512" s="124"/>
      <c r="H1512" s="124"/>
      <c r="I1512" s="595"/>
      <c r="J1512" s="595"/>
      <c r="K1512" s="93"/>
      <c r="L1512" s="596" t="s">
        <v>216</v>
      </c>
    </row>
    <row r="1513" spans="1:12" s="90" customFormat="1" ht="24.75" customHeight="1">
      <c r="A1513" s="96"/>
      <c r="B1513" s="97" t="s">
        <v>104</v>
      </c>
      <c r="C1513" s="86" t="s">
        <v>227</v>
      </c>
      <c r="D1513" s="86" t="s">
        <v>844</v>
      </c>
      <c r="E1513" s="86" t="s">
        <v>303</v>
      </c>
      <c r="F1513" s="87" t="s">
        <v>304</v>
      </c>
      <c r="G1513" s="96">
        <v>128</v>
      </c>
      <c r="H1513" s="97" t="s">
        <v>105</v>
      </c>
      <c r="I1513" s="86" t="s">
        <v>227</v>
      </c>
      <c r="J1513" s="86" t="s">
        <v>844</v>
      </c>
      <c r="K1513" s="86" t="s">
        <v>303</v>
      </c>
      <c r="L1513" s="87" t="s">
        <v>304</v>
      </c>
    </row>
    <row r="1514" spans="1:12" s="90" customFormat="1" ht="12.75" customHeight="1">
      <c r="A1514" s="99" t="s">
        <v>23</v>
      </c>
      <c r="B1514" s="100" t="s">
        <v>108</v>
      </c>
      <c r="C1514" s="101">
        <f>+C1515+C1517+C1518+C1519</f>
        <v>740290</v>
      </c>
      <c r="D1514" s="101">
        <f>+D1515+D1517+D1518+D1519</f>
        <v>740290</v>
      </c>
      <c r="E1514" s="101">
        <f>+E1515+E1517+E1518+E1519</f>
        <v>0</v>
      </c>
      <c r="F1514" s="102">
        <f>+E1514/D1514+IF(F1514=0/0,0%)</f>
        <v>0</v>
      </c>
      <c r="G1514" s="99" t="s">
        <v>23</v>
      </c>
      <c r="H1514" s="100" t="s">
        <v>129</v>
      </c>
      <c r="I1514" s="101">
        <f>SUM(I1515:I1519)</f>
        <v>740290</v>
      </c>
      <c r="J1514" s="101">
        <f>SUM(J1515:J1519)</f>
        <v>740290</v>
      </c>
      <c r="K1514" s="101">
        <f>SUM(K1515:K1519)</f>
        <v>0</v>
      </c>
      <c r="L1514" s="102">
        <f aca="true" t="shared" si="8" ref="L1514:L1519">+K1514/J1514+IF(L1514=0/0,0%)</f>
        <v>0</v>
      </c>
    </row>
    <row r="1515" spans="1:12" s="90" customFormat="1" ht="12.75" customHeight="1">
      <c r="A1515" s="99" t="s">
        <v>111</v>
      </c>
      <c r="B1515" s="116" t="s">
        <v>209</v>
      </c>
      <c r="C1515" s="106">
        <f>C1516</f>
        <v>740290</v>
      </c>
      <c r="D1515" s="106">
        <f>D1516</f>
        <v>740290</v>
      </c>
      <c r="E1515" s="106">
        <f>E1516</f>
        <v>0</v>
      </c>
      <c r="F1515" s="599">
        <f>+E1515/D1515+IF(F1515=0/0,0%)</f>
        <v>0</v>
      </c>
      <c r="G1515" s="99" t="s">
        <v>111</v>
      </c>
      <c r="H1515" s="116" t="s">
        <v>80</v>
      </c>
      <c r="I1515" s="106">
        <f>619490-4826</f>
        <v>614664</v>
      </c>
      <c r="J1515" s="106">
        <f>619490-4826</f>
        <v>614664</v>
      </c>
      <c r="K1515" s="106">
        <v>0</v>
      </c>
      <c r="L1515" s="599">
        <f t="shared" si="8"/>
        <v>0</v>
      </c>
    </row>
    <row r="1516" spans="1:12" s="90" customFormat="1" ht="12.75" customHeight="1">
      <c r="A1516" s="99"/>
      <c r="B1516" s="116" t="s">
        <v>210</v>
      </c>
      <c r="C1516" s="106">
        <v>740290</v>
      </c>
      <c r="D1516" s="106">
        <v>740290</v>
      </c>
      <c r="E1516" s="106">
        <v>0</v>
      </c>
      <c r="F1516" s="599">
        <f>+E1516/D1516+IF(F1516=0/0,0%)</f>
        <v>0</v>
      </c>
      <c r="G1516" s="99" t="s">
        <v>112</v>
      </c>
      <c r="H1516" s="116" t="s">
        <v>147</v>
      </c>
      <c r="I1516" s="106">
        <v>120800</v>
      </c>
      <c r="J1516" s="106">
        <v>120800</v>
      </c>
      <c r="K1516" s="106">
        <v>0</v>
      </c>
      <c r="L1516" s="599">
        <f t="shared" si="8"/>
        <v>0</v>
      </c>
    </row>
    <row r="1517" spans="1:12" s="90" customFormat="1" ht="12.75" customHeight="1">
      <c r="A1517" s="99" t="s">
        <v>112</v>
      </c>
      <c r="B1517" s="116" t="s">
        <v>9</v>
      </c>
      <c r="C1517" s="106"/>
      <c r="D1517" s="106"/>
      <c r="E1517" s="106"/>
      <c r="F1517" s="599"/>
      <c r="G1517" s="99" t="s">
        <v>113</v>
      </c>
      <c r="H1517" s="116" t="s">
        <v>83</v>
      </c>
      <c r="I1517" s="106"/>
      <c r="J1517" s="106"/>
      <c r="K1517" s="106"/>
      <c r="L1517" s="599"/>
    </row>
    <row r="1518" spans="1:12" s="90" customFormat="1" ht="12.75" customHeight="1">
      <c r="A1518" s="99" t="s">
        <v>113</v>
      </c>
      <c r="B1518" s="116" t="s">
        <v>170</v>
      </c>
      <c r="C1518" s="106"/>
      <c r="D1518" s="106"/>
      <c r="E1518" s="106"/>
      <c r="F1518" s="599"/>
      <c r="G1518" s="99" t="s">
        <v>114</v>
      </c>
      <c r="H1518" s="116" t="s">
        <v>84</v>
      </c>
      <c r="I1518" s="106"/>
      <c r="J1518" s="106"/>
      <c r="K1518" s="106"/>
      <c r="L1518" s="599"/>
    </row>
    <row r="1519" spans="1:12" s="90" customFormat="1" ht="12.75" customHeight="1">
      <c r="A1519" s="99" t="s">
        <v>114</v>
      </c>
      <c r="B1519" s="116" t="s">
        <v>181</v>
      </c>
      <c r="C1519" s="106"/>
      <c r="D1519" s="106"/>
      <c r="E1519" s="106"/>
      <c r="F1519" s="599"/>
      <c r="G1519" s="99" t="s">
        <v>115</v>
      </c>
      <c r="H1519" s="116" t="s">
        <v>211</v>
      </c>
      <c r="I1519" s="106">
        <v>4826</v>
      </c>
      <c r="J1519" s="106">
        <v>4826</v>
      </c>
      <c r="K1519" s="106">
        <v>0</v>
      </c>
      <c r="L1519" s="599">
        <f t="shared" si="8"/>
        <v>0</v>
      </c>
    </row>
    <row r="1520" spans="1:12" s="90" customFormat="1" ht="12.75" customHeight="1">
      <c r="A1520" s="112" t="s">
        <v>45</v>
      </c>
      <c r="B1520" s="100" t="s">
        <v>118</v>
      </c>
      <c r="C1520" s="101"/>
      <c r="D1520" s="101"/>
      <c r="E1520" s="101"/>
      <c r="F1520" s="102"/>
      <c r="G1520" s="112" t="s">
        <v>45</v>
      </c>
      <c r="H1520" s="100" t="s">
        <v>130</v>
      </c>
      <c r="I1520" s="101"/>
      <c r="J1520" s="101"/>
      <c r="K1520" s="101"/>
      <c r="L1520" s="102"/>
    </row>
    <row r="1521" spans="1:12" s="90" customFormat="1" ht="12.75" customHeight="1">
      <c r="A1521" s="112" t="s">
        <v>111</v>
      </c>
      <c r="B1521" s="100" t="s">
        <v>106</v>
      </c>
      <c r="C1521" s="106"/>
      <c r="D1521" s="106"/>
      <c r="E1521" s="106"/>
      <c r="F1521" s="599"/>
      <c r="G1521" s="112" t="s">
        <v>111</v>
      </c>
      <c r="H1521" s="100" t="s">
        <v>131</v>
      </c>
      <c r="I1521" s="106"/>
      <c r="J1521" s="106"/>
      <c r="K1521" s="106"/>
      <c r="L1521" s="599"/>
    </row>
    <row r="1522" spans="1:12" s="90" customFormat="1" ht="12.75" customHeight="1">
      <c r="A1522" s="112" t="s">
        <v>112</v>
      </c>
      <c r="B1522" s="100" t="s">
        <v>39</v>
      </c>
      <c r="C1522" s="106"/>
      <c r="D1522" s="106"/>
      <c r="E1522" s="106"/>
      <c r="F1522" s="599"/>
      <c r="G1522" s="112" t="s">
        <v>112</v>
      </c>
      <c r="H1522" s="100" t="s">
        <v>87</v>
      </c>
      <c r="I1522" s="106"/>
      <c r="J1522" s="106"/>
      <c r="K1522" s="106"/>
      <c r="L1522" s="599"/>
    </row>
    <row r="1523" spans="1:12" s="90" customFormat="1" ht="12.75" customHeight="1">
      <c r="A1523" s="112" t="s">
        <v>113</v>
      </c>
      <c r="B1523" s="100" t="s">
        <v>201</v>
      </c>
      <c r="C1523" s="106"/>
      <c r="D1523" s="106"/>
      <c r="E1523" s="106"/>
      <c r="F1523" s="599"/>
      <c r="G1523" s="112" t="s">
        <v>113</v>
      </c>
      <c r="H1523" s="100" t="s">
        <v>90</v>
      </c>
      <c r="I1523" s="106"/>
      <c r="J1523" s="106"/>
      <c r="K1523" s="106"/>
      <c r="L1523" s="599"/>
    </row>
    <row r="1524" spans="1:12" s="90" customFormat="1" ht="12.75" customHeight="1">
      <c r="A1524" s="112" t="s">
        <v>56</v>
      </c>
      <c r="B1524" s="100" t="s">
        <v>126</v>
      </c>
      <c r="C1524" s="101"/>
      <c r="D1524" s="101"/>
      <c r="E1524" s="101"/>
      <c r="F1524" s="102"/>
      <c r="G1524" s="112" t="s">
        <v>56</v>
      </c>
      <c r="H1524" s="100" t="s">
        <v>132</v>
      </c>
      <c r="I1524" s="101"/>
      <c r="J1524" s="101"/>
      <c r="K1524" s="101"/>
      <c r="L1524" s="102"/>
    </row>
    <row r="1525" spans="1:12" s="90" customFormat="1" ht="12.75" customHeight="1">
      <c r="A1525" s="99" t="s">
        <v>64</v>
      </c>
      <c r="B1525" s="116" t="s">
        <v>127</v>
      </c>
      <c r="C1525" s="101"/>
      <c r="D1525" s="101"/>
      <c r="E1525" s="101"/>
      <c r="F1525" s="102"/>
      <c r="G1525" s="99" t="s">
        <v>64</v>
      </c>
      <c r="H1525" s="116" t="s">
        <v>133</v>
      </c>
      <c r="I1525" s="101"/>
      <c r="J1525" s="101"/>
      <c r="K1525" s="101"/>
      <c r="L1525" s="102"/>
    </row>
    <row r="1526" spans="1:12" s="124" customFormat="1" ht="12.75" customHeight="1" thickBot="1">
      <c r="A1526" s="117"/>
      <c r="B1526" s="118" t="s">
        <v>148</v>
      </c>
      <c r="C1526" s="88">
        <f>+C1514+C1520+C1524+C1525</f>
        <v>740290</v>
      </c>
      <c r="D1526" s="88">
        <f>+D1514+D1520+D1524+D1525</f>
        <v>740290</v>
      </c>
      <c r="E1526" s="88">
        <f>+E1514+E1520+E1524+E1525</f>
        <v>0</v>
      </c>
      <c r="F1526" s="119">
        <f>+E1526/D1526+IF(F1526=0/0,0%)</f>
        <v>0</v>
      </c>
      <c r="G1526" s="117"/>
      <c r="H1526" s="118" t="s">
        <v>149</v>
      </c>
      <c r="I1526" s="88">
        <f>+I1517+I1514</f>
        <v>740290</v>
      </c>
      <c r="J1526" s="88">
        <f>+J1517+J1514</f>
        <v>740290</v>
      </c>
      <c r="K1526" s="88">
        <f>+K1517+K1514</f>
        <v>0</v>
      </c>
      <c r="L1526" s="119">
        <f>+K1526/J1526+IF(L1526=0/0,0%)</f>
        <v>0</v>
      </c>
    </row>
    <row r="1527" spans="1:12" s="126" customFormat="1" ht="12.75" customHeight="1">
      <c r="A1527" s="124"/>
      <c r="B1527" s="124"/>
      <c r="C1527" s="93"/>
      <c r="D1527" s="93"/>
      <c r="E1527" s="595"/>
      <c r="F1527" s="595"/>
      <c r="G1527" s="124"/>
      <c r="H1527" s="124"/>
      <c r="I1527" s="93"/>
      <c r="J1527" s="93"/>
      <c r="K1527" s="595"/>
      <c r="L1527" s="595"/>
    </row>
    <row r="1528" spans="1:12" s="90" customFormat="1" ht="12.75" customHeight="1" thickBot="1">
      <c r="A1528" s="90" t="s">
        <v>832</v>
      </c>
      <c r="B1528" s="124"/>
      <c r="C1528" s="93"/>
      <c r="D1528" s="93"/>
      <c r="E1528" s="93"/>
      <c r="F1528" s="93"/>
      <c r="G1528" s="124"/>
      <c r="H1528" s="124"/>
      <c r="I1528" s="595"/>
      <c r="J1528" s="595"/>
      <c r="K1528" s="93"/>
      <c r="L1528" s="596" t="s">
        <v>216</v>
      </c>
    </row>
    <row r="1529" spans="1:12" s="90" customFormat="1" ht="24.75" customHeight="1">
      <c r="A1529" s="96"/>
      <c r="B1529" s="97" t="s">
        <v>104</v>
      </c>
      <c r="C1529" s="86" t="s">
        <v>227</v>
      </c>
      <c r="D1529" s="86" t="s">
        <v>844</v>
      </c>
      <c r="E1529" s="86" t="s">
        <v>303</v>
      </c>
      <c r="F1529" s="87" t="s">
        <v>304</v>
      </c>
      <c r="G1529" s="96">
        <v>129</v>
      </c>
      <c r="H1529" s="97" t="s">
        <v>105</v>
      </c>
      <c r="I1529" s="86" t="s">
        <v>227</v>
      </c>
      <c r="J1529" s="86" t="s">
        <v>844</v>
      </c>
      <c r="K1529" s="86" t="s">
        <v>303</v>
      </c>
      <c r="L1529" s="87" t="s">
        <v>304</v>
      </c>
    </row>
    <row r="1530" spans="1:12" s="90" customFormat="1" ht="12.75" customHeight="1">
      <c r="A1530" s="99" t="s">
        <v>23</v>
      </c>
      <c r="B1530" s="100" t="s">
        <v>108</v>
      </c>
      <c r="C1530" s="101"/>
      <c r="D1530" s="101"/>
      <c r="E1530" s="101"/>
      <c r="F1530" s="102"/>
      <c r="G1530" s="99" t="s">
        <v>23</v>
      </c>
      <c r="H1530" s="100" t="s">
        <v>129</v>
      </c>
      <c r="I1530" s="101">
        <f>SUM(I1531:I1535)</f>
        <v>896433</v>
      </c>
      <c r="J1530" s="101">
        <f>SUM(J1531:J1535)</f>
        <v>896433</v>
      </c>
      <c r="K1530" s="101">
        <f>SUM(K1531:K1535)</f>
        <v>424225</v>
      </c>
      <c r="L1530" s="102">
        <f>+K1530/J1530</f>
        <v>0.47323670592224965</v>
      </c>
    </row>
    <row r="1531" spans="1:12" s="90" customFormat="1" ht="12.75" customHeight="1">
      <c r="A1531" s="99" t="s">
        <v>111</v>
      </c>
      <c r="B1531" s="116" t="s">
        <v>209</v>
      </c>
      <c r="C1531" s="106"/>
      <c r="D1531" s="106"/>
      <c r="E1531" s="106"/>
      <c r="F1531" s="599"/>
      <c r="G1531" s="99" t="s">
        <v>111</v>
      </c>
      <c r="H1531" s="116" t="s">
        <v>80</v>
      </c>
      <c r="I1531" s="106">
        <v>615615</v>
      </c>
      <c r="J1531" s="106">
        <v>615615</v>
      </c>
      <c r="K1531" s="106">
        <v>369369</v>
      </c>
      <c r="L1531" s="599">
        <f>+K1531/J1531</f>
        <v>0.6</v>
      </c>
    </row>
    <row r="1532" spans="1:12" s="90" customFormat="1" ht="12.75" customHeight="1">
      <c r="A1532" s="99"/>
      <c r="B1532" s="116" t="s">
        <v>210</v>
      </c>
      <c r="C1532" s="106"/>
      <c r="D1532" s="106"/>
      <c r="E1532" s="106"/>
      <c r="F1532" s="599"/>
      <c r="G1532" s="99" t="s">
        <v>112</v>
      </c>
      <c r="H1532" s="116" t="s">
        <v>147</v>
      </c>
      <c r="I1532" s="106">
        <v>135434</v>
      </c>
      <c r="J1532" s="106">
        <v>135434</v>
      </c>
      <c r="K1532" s="106">
        <v>54856</v>
      </c>
      <c r="L1532" s="599">
        <f>+K1532/J1532</f>
        <v>0.4050386165955373</v>
      </c>
    </row>
    <row r="1533" spans="1:12" s="90" customFormat="1" ht="12.75" customHeight="1">
      <c r="A1533" s="99" t="s">
        <v>112</v>
      </c>
      <c r="B1533" s="116" t="s">
        <v>9</v>
      </c>
      <c r="C1533" s="106"/>
      <c r="D1533" s="106"/>
      <c r="E1533" s="106"/>
      <c r="F1533" s="599"/>
      <c r="G1533" s="99" t="s">
        <v>113</v>
      </c>
      <c r="H1533" s="116" t="s">
        <v>83</v>
      </c>
      <c r="I1533" s="106">
        <f>150210-4826</f>
        <v>145384</v>
      </c>
      <c r="J1533" s="106">
        <f>150210-4826</f>
        <v>145384</v>
      </c>
      <c r="K1533" s="106">
        <v>0</v>
      </c>
      <c r="L1533" s="599">
        <f>+K1533/J1533</f>
        <v>0</v>
      </c>
    </row>
    <row r="1534" spans="1:12" s="90" customFormat="1" ht="12.75" customHeight="1">
      <c r="A1534" s="99" t="s">
        <v>113</v>
      </c>
      <c r="B1534" s="116" t="s">
        <v>170</v>
      </c>
      <c r="C1534" s="106"/>
      <c r="D1534" s="106"/>
      <c r="E1534" s="106"/>
      <c r="F1534" s="599"/>
      <c r="G1534" s="99" t="s">
        <v>114</v>
      </c>
      <c r="H1534" s="116" t="s">
        <v>84</v>
      </c>
      <c r="I1534" s="106"/>
      <c r="J1534" s="106"/>
      <c r="K1534" s="106"/>
      <c r="L1534" s="599"/>
    </row>
    <row r="1535" spans="1:12" s="90" customFormat="1" ht="12.75" customHeight="1">
      <c r="A1535" s="99" t="s">
        <v>114</v>
      </c>
      <c r="B1535" s="116" t="s">
        <v>181</v>
      </c>
      <c r="C1535" s="106"/>
      <c r="D1535" s="106"/>
      <c r="E1535" s="106"/>
      <c r="F1535" s="599"/>
      <c r="G1535" s="99" t="s">
        <v>115</v>
      </c>
      <c r="H1535" s="116" t="s">
        <v>211</v>
      </c>
      <c r="I1535" s="106"/>
      <c r="J1535" s="106"/>
      <c r="K1535" s="106"/>
      <c r="L1535" s="599"/>
    </row>
    <row r="1536" spans="1:12" s="90" customFormat="1" ht="12.75" customHeight="1">
      <c r="A1536" s="112" t="s">
        <v>45</v>
      </c>
      <c r="B1536" s="100" t="s">
        <v>118</v>
      </c>
      <c r="C1536" s="101"/>
      <c r="D1536" s="101"/>
      <c r="E1536" s="101"/>
      <c r="F1536" s="102"/>
      <c r="G1536" s="112" t="s">
        <v>45</v>
      </c>
      <c r="H1536" s="100" t="s">
        <v>130</v>
      </c>
      <c r="I1536" s="101"/>
      <c r="J1536" s="101"/>
      <c r="K1536" s="101"/>
      <c r="L1536" s="102"/>
    </row>
    <row r="1537" spans="1:12" s="90" customFormat="1" ht="12.75" customHeight="1">
      <c r="A1537" s="112" t="s">
        <v>111</v>
      </c>
      <c r="B1537" s="100" t="s">
        <v>106</v>
      </c>
      <c r="C1537" s="106"/>
      <c r="D1537" s="106"/>
      <c r="E1537" s="106"/>
      <c r="F1537" s="599"/>
      <c r="G1537" s="112" t="s">
        <v>111</v>
      </c>
      <c r="H1537" s="100" t="s">
        <v>131</v>
      </c>
      <c r="I1537" s="106"/>
      <c r="J1537" s="106"/>
      <c r="K1537" s="106"/>
      <c r="L1537" s="599"/>
    </row>
    <row r="1538" spans="1:12" s="90" customFormat="1" ht="12.75" customHeight="1">
      <c r="A1538" s="112" t="s">
        <v>112</v>
      </c>
      <c r="B1538" s="100" t="s">
        <v>39</v>
      </c>
      <c r="C1538" s="106"/>
      <c r="D1538" s="106"/>
      <c r="E1538" s="106"/>
      <c r="F1538" s="599"/>
      <c r="G1538" s="112" t="s">
        <v>112</v>
      </c>
      <c r="H1538" s="100" t="s">
        <v>87</v>
      </c>
      <c r="I1538" s="106"/>
      <c r="J1538" s="106"/>
      <c r="K1538" s="106"/>
      <c r="L1538" s="599"/>
    </row>
    <row r="1539" spans="1:12" s="90" customFormat="1" ht="12.75" customHeight="1">
      <c r="A1539" s="112" t="s">
        <v>113</v>
      </c>
      <c r="B1539" s="100" t="s">
        <v>201</v>
      </c>
      <c r="C1539" s="106"/>
      <c r="D1539" s="106"/>
      <c r="E1539" s="106"/>
      <c r="F1539" s="599"/>
      <c r="G1539" s="112" t="s">
        <v>113</v>
      </c>
      <c r="H1539" s="100" t="s">
        <v>90</v>
      </c>
      <c r="I1539" s="106"/>
      <c r="J1539" s="106"/>
      <c r="K1539" s="106"/>
      <c r="L1539" s="599"/>
    </row>
    <row r="1540" spans="1:12" s="90" customFormat="1" ht="12.75" customHeight="1">
      <c r="A1540" s="112" t="s">
        <v>56</v>
      </c>
      <c r="B1540" s="100" t="s">
        <v>126</v>
      </c>
      <c r="C1540" s="101">
        <f>901259-4826</f>
        <v>896433</v>
      </c>
      <c r="D1540" s="101">
        <f>901259-4826</f>
        <v>896433</v>
      </c>
      <c r="E1540" s="101">
        <v>896433</v>
      </c>
      <c r="F1540" s="102">
        <f>+E1540/D1540</f>
        <v>1</v>
      </c>
      <c r="G1540" s="112" t="s">
        <v>56</v>
      </c>
      <c r="H1540" s="100" t="s">
        <v>132</v>
      </c>
      <c r="I1540" s="101"/>
      <c r="J1540" s="101"/>
      <c r="K1540" s="101"/>
      <c r="L1540" s="102"/>
    </row>
    <row r="1541" spans="1:12" s="90" customFormat="1" ht="12.75" customHeight="1">
      <c r="A1541" s="99" t="s">
        <v>64</v>
      </c>
      <c r="B1541" s="116" t="s">
        <v>127</v>
      </c>
      <c r="C1541" s="101"/>
      <c r="D1541" s="101"/>
      <c r="E1541" s="101"/>
      <c r="F1541" s="102"/>
      <c r="G1541" s="99" t="s">
        <v>64</v>
      </c>
      <c r="H1541" s="116" t="s">
        <v>133</v>
      </c>
      <c r="I1541" s="101"/>
      <c r="J1541" s="101"/>
      <c r="K1541" s="101"/>
      <c r="L1541" s="102"/>
    </row>
    <row r="1542" spans="1:12" s="124" customFormat="1" ht="12.75" customHeight="1" thickBot="1">
      <c r="A1542" s="117"/>
      <c r="B1542" s="118" t="s">
        <v>148</v>
      </c>
      <c r="C1542" s="88">
        <f>+C1530+C1536+C1540+C1541</f>
        <v>896433</v>
      </c>
      <c r="D1542" s="88">
        <f>+D1530+D1536+D1540+D1541</f>
        <v>896433</v>
      </c>
      <c r="E1542" s="88">
        <f>+E1530+E1536+E1540+E1541</f>
        <v>896433</v>
      </c>
      <c r="F1542" s="119">
        <f>+E1542/D1542</f>
        <v>1</v>
      </c>
      <c r="G1542" s="117"/>
      <c r="H1542" s="118" t="s">
        <v>149</v>
      </c>
      <c r="I1542" s="88">
        <f>+I1541+I1540+I1536+I1530</f>
        <v>896433</v>
      </c>
      <c r="J1542" s="88">
        <f>+J1541+J1540+J1536+J1530</f>
        <v>896433</v>
      </c>
      <c r="K1542" s="88">
        <f>+K1541+K1540+K1536+K1530</f>
        <v>424225</v>
      </c>
      <c r="L1542" s="119">
        <f>+K1542/J1542</f>
        <v>0.47323670592224965</v>
      </c>
    </row>
    <row r="1543" spans="1:12" s="90" customFormat="1" ht="15">
      <c r="A1543" s="124"/>
      <c r="B1543" s="124"/>
      <c r="C1543" s="93"/>
      <c r="D1543" s="93"/>
      <c r="E1543" s="93"/>
      <c r="F1543" s="93"/>
      <c r="G1543" s="124"/>
      <c r="H1543" s="124"/>
      <c r="I1543" s="93"/>
      <c r="J1543" s="93"/>
      <c r="K1543" s="93"/>
      <c r="L1543" s="93"/>
    </row>
    <row r="1544" spans="1:12" s="90" customFormat="1" ht="12.75" customHeight="1" thickBot="1">
      <c r="A1544" s="90" t="s">
        <v>833</v>
      </c>
      <c r="B1544" s="124"/>
      <c r="C1544" s="93"/>
      <c r="D1544" s="93"/>
      <c r="E1544" s="93"/>
      <c r="F1544" s="93"/>
      <c r="G1544" s="124"/>
      <c r="H1544" s="124"/>
      <c r="I1544" s="595"/>
      <c r="J1544" s="595"/>
      <c r="K1544" s="93"/>
      <c r="L1544" s="596" t="s">
        <v>216</v>
      </c>
    </row>
    <row r="1545" spans="1:12" s="90" customFormat="1" ht="24.75" customHeight="1">
      <c r="A1545" s="96"/>
      <c r="B1545" s="97" t="s">
        <v>104</v>
      </c>
      <c r="C1545" s="86" t="s">
        <v>227</v>
      </c>
      <c r="D1545" s="86" t="s">
        <v>844</v>
      </c>
      <c r="E1545" s="86" t="s">
        <v>303</v>
      </c>
      <c r="F1545" s="87" t="s">
        <v>304</v>
      </c>
      <c r="G1545" s="96">
        <v>131</v>
      </c>
      <c r="H1545" s="97" t="s">
        <v>105</v>
      </c>
      <c r="I1545" s="86" t="s">
        <v>227</v>
      </c>
      <c r="J1545" s="86" t="s">
        <v>844</v>
      </c>
      <c r="K1545" s="86" t="s">
        <v>303</v>
      </c>
      <c r="L1545" s="87" t="s">
        <v>304</v>
      </c>
    </row>
    <row r="1546" spans="1:12" s="90" customFormat="1" ht="12.75" customHeight="1">
      <c r="A1546" s="99" t="s">
        <v>23</v>
      </c>
      <c r="B1546" s="100" t="s">
        <v>108</v>
      </c>
      <c r="C1546" s="101">
        <f>+C1547+C1549+C1550+C1551</f>
        <v>2252564</v>
      </c>
      <c r="D1546" s="101">
        <f>+D1547+D1549+D1550+D1551</f>
        <v>2252564</v>
      </c>
      <c r="E1546" s="101">
        <f>+E1547+E1549+E1550+E1551</f>
        <v>0</v>
      </c>
      <c r="F1546" s="102">
        <f>+E1546/D1546</f>
        <v>0</v>
      </c>
      <c r="G1546" s="99" t="s">
        <v>23</v>
      </c>
      <c r="H1546" s="100" t="s">
        <v>129</v>
      </c>
      <c r="I1546" s="101">
        <f>SUM(I1547:I1551)</f>
        <v>8420047</v>
      </c>
      <c r="J1546" s="101">
        <f>SUM(J1547:J1551)</f>
        <v>8420047</v>
      </c>
      <c r="K1546" s="101">
        <f>SUM(K1547:K1551)</f>
        <v>5593413</v>
      </c>
      <c r="L1546" s="102">
        <f>+K1546/J1546</f>
        <v>0.6642971232820909</v>
      </c>
    </row>
    <row r="1547" spans="1:12" s="90" customFormat="1" ht="12.75" customHeight="1">
      <c r="A1547" s="99" t="s">
        <v>111</v>
      </c>
      <c r="B1547" s="116" t="s">
        <v>209</v>
      </c>
      <c r="C1547" s="106">
        <f>C1548</f>
        <v>2252564</v>
      </c>
      <c r="D1547" s="106">
        <f>D1548</f>
        <v>2252564</v>
      </c>
      <c r="E1547" s="106">
        <v>0</v>
      </c>
      <c r="F1547" s="599">
        <f>+E1547/D1547</f>
        <v>0</v>
      </c>
      <c r="G1547" s="99" t="s">
        <v>111</v>
      </c>
      <c r="H1547" s="116" t="s">
        <v>80</v>
      </c>
      <c r="I1547" s="106">
        <v>6130236</v>
      </c>
      <c r="J1547" s="106">
        <v>6130236</v>
      </c>
      <c r="K1547" s="106">
        <v>4790330</v>
      </c>
      <c r="L1547" s="599">
        <f>+K1547/J1547</f>
        <v>0.7814266856936666</v>
      </c>
    </row>
    <row r="1548" spans="1:12" s="90" customFormat="1" ht="12.75" customHeight="1">
      <c r="A1548" s="99"/>
      <c r="B1548" s="116" t="s">
        <v>210</v>
      </c>
      <c r="C1548" s="106">
        <v>2252564</v>
      </c>
      <c r="D1548" s="106">
        <v>2252564</v>
      </c>
      <c r="E1548" s="106">
        <v>0</v>
      </c>
      <c r="F1548" s="599">
        <f>+E1548/D1548</f>
        <v>0</v>
      </c>
      <c r="G1548" s="99" t="s">
        <v>112</v>
      </c>
      <c r="H1548" s="116" t="s">
        <v>147</v>
      </c>
      <c r="I1548" s="106">
        <v>1974248</v>
      </c>
      <c r="J1548" s="106">
        <v>1974248</v>
      </c>
      <c r="K1548" s="106">
        <v>803083</v>
      </c>
      <c r="L1548" s="599">
        <f>+K1548/J1548</f>
        <v>0.40677918883544517</v>
      </c>
    </row>
    <row r="1549" spans="1:12" s="90" customFormat="1" ht="12.75" customHeight="1">
      <c r="A1549" s="99" t="s">
        <v>112</v>
      </c>
      <c r="B1549" s="116" t="s">
        <v>9</v>
      </c>
      <c r="C1549" s="106"/>
      <c r="D1549" s="106"/>
      <c r="E1549" s="106"/>
      <c r="F1549" s="599"/>
      <c r="G1549" s="99" t="s">
        <v>113</v>
      </c>
      <c r="H1549" s="116" t="s">
        <v>83</v>
      </c>
      <c r="I1549" s="106">
        <v>315563</v>
      </c>
      <c r="J1549" s="106">
        <v>315563</v>
      </c>
      <c r="K1549" s="106">
        <v>0</v>
      </c>
      <c r="L1549" s="599">
        <f>+K1549/J1549+IF(L1549=0/0,0%)</f>
        <v>0</v>
      </c>
    </row>
    <row r="1550" spans="1:12" s="90" customFormat="1" ht="12.75" customHeight="1">
      <c r="A1550" s="99" t="s">
        <v>113</v>
      </c>
      <c r="B1550" s="116" t="s">
        <v>170</v>
      </c>
      <c r="C1550" s="106"/>
      <c r="D1550" s="106"/>
      <c r="E1550" s="106"/>
      <c r="F1550" s="599"/>
      <c r="G1550" s="99" t="s">
        <v>114</v>
      </c>
      <c r="H1550" s="116" t="s">
        <v>84</v>
      </c>
      <c r="I1550" s="106"/>
      <c r="J1550" s="106"/>
      <c r="K1550" s="106"/>
      <c r="L1550" s="599"/>
    </row>
    <row r="1551" spans="1:12" s="90" customFormat="1" ht="12.75" customHeight="1">
      <c r="A1551" s="99" t="s">
        <v>114</v>
      </c>
      <c r="B1551" s="116" t="s">
        <v>181</v>
      </c>
      <c r="C1551" s="106"/>
      <c r="D1551" s="106"/>
      <c r="E1551" s="106"/>
      <c r="F1551" s="599"/>
      <c r="G1551" s="99" t="s">
        <v>115</v>
      </c>
      <c r="H1551" s="116" t="s">
        <v>211</v>
      </c>
      <c r="I1551" s="106"/>
      <c r="J1551" s="106"/>
      <c r="K1551" s="106"/>
      <c r="L1551" s="599"/>
    </row>
    <row r="1552" spans="1:12" s="90" customFormat="1" ht="12.75" customHeight="1">
      <c r="A1552" s="112" t="s">
        <v>45</v>
      </c>
      <c r="B1552" s="100" t="s">
        <v>118</v>
      </c>
      <c r="C1552" s="101"/>
      <c r="D1552" s="101"/>
      <c r="E1552" s="101"/>
      <c r="F1552" s="102"/>
      <c r="G1552" s="112" t="s">
        <v>45</v>
      </c>
      <c r="H1552" s="100" t="s">
        <v>130</v>
      </c>
      <c r="I1552" s="101"/>
      <c r="J1552" s="101"/>
      <c r="K1552" s="101"/>
      <c r="L1552" s="102"/>
    </row>
    <row r="1553" spans="1:12" s="90" customFormat="1" ht="12.75" customHeight="1">
      <c r="A1553" s="112" t="s">
        <v>111</v>
      </c>
      <c r="B1553" s="100" t="s">
        <v>106</v>
      </c>
      <c r="C1553" s="106"/>
      <c r="D1553" s="106"/>
      <c r="E1553" s="106"/>
      <c r="F1553" s="599"/>
      <c r="G1553" s="112" t="s">
        <v>111</v>
      </c>
      <c r="H1553" s="100" t="s">
        <v>131</v>
      </c>
      <c r="I1553" s="106"/>
      <c r="J1553" s="106"/>
      <c r="K1553" s="106"/>
      <c r="L1553" s="599"/>
    </row>
    <row r="1554" spans="1:12" s="90" customFormat="1" ht="12.75" customHeight="1">
      <c r="A1554" s="112" t="s">
        <v>112</v>
      </c>
      <c r="B1554" s="100" t="s">
        <v>39</v>
      </c>
      <c r="C1554" s="106"/>
      <c r="D1554" s="106"/>
      <c r="E1554" s="106"/>
      <c r="F1554" s="599"/>
      <c r="G1554" s="112" t="s">
        <v>112</v>
      </c>
      <c r="H1554" s="100" t="s">
        <v>87</v>
      </c>
      <c r="I1554" s="106"/>
      <c r="J1554" s="106"/>
      <c r="K1554" s="106"/>
      <c r="L1554" s="599"/>
    </row>
    <row r="1555" spans="1:12" s="90" customFormat="1" ht="12.75" customHeight="1">
      <c r="A1555" s="112" t="s">
        <v>113</v>
      </c>
      <c r="B1555" s="100" t="s">
        <v>201</v>
      </c>
      <c r="C1555" s="106"/>
      <c r="D1555" s="106"/>
      <c r="E1555" s="106"/>
      <c r="F1555" s="599"/>
      <c r="G1555" s="112" t="s">
        <v>113</v>
      </c>
      <c r="H1555" s="100" t="s">
        <v>90</v>
      </c>
      <c r="I1555" s="106"/>
      <c r="J1555" s="106"/>
      <c r="K1555" s="106"/>
      <c r="L1555" s="599"/>
    </row>
    <row r="1556" spans="1:12" s="90" customFormat="1" ht="12.75" customHeight="1">
      <c r="A1556" s="112" t="s">
        <v>56</v>
      </c>
      <c r="B1556" s="100" t="s">
        <v>126</v>
      </c>
      <c r="C1556" s="101">
        <v>6167483</v>
      </c>
      <c r="D1556" s="101">
        <v>6167483</v>
      </c>
      <c r="E1556" s="101">
        <v>6167483</v>
      </c>
      <c r="F1556" s="102">
        <f>+E1556/D1556</f>
        <v>1</v>
      </c>
      <c r="G1556" s="112" t="s">
        <v>56</v>
      </c>
      <c r="H1556" s="100" t="s">
        <v>132</v>
      </c>
      <c r="I1556" s="101"/>
      <c r="J1556" s="101"/>
      <c r="K1556" s="101"/>
      <c r="L1556" s="102"/>
    </row>
    <row r="1557" spans="1:12" s="90" customFormat="1" ht="12.75" customHeight="1">
      <c r="A1557" s="99" t="s">
        <v>64</v>
      </c>
      <c r="B1557" s="116" t="s">
        <v>127</v>
      </c>
      <c r="C1557" s="101"/>
      <c r="D1557" s="101"/>
      <c r="E1557" s="101"/>
      <c r="F1557" s="102"/>
      <c r="G1557" s="99" t="s">
        <v>64</v>
      </c>
      <c r="H1557" s="116" t="s">
        <v>133</v>
      </c>
      <c r="I1557" s="101"/>
      <c r="J1557" s="101"/>
      <c r="K1557" s="101"/>
      <c r="L1557" s="102"/>
    </row>
    <row r="1558" spans="1:12" s="124" customFormat="1" ht="12.75" customHeight="1" thickBot="1">
      <c r="A1558" s="117"/>
      <c r="B1558" s="118" t="s">
        <v>148</v>
      </c>
      <c r="C1558" s="88">
        <f>+C1546+C1552+C1556+C1557</f>
        <v>8420047</v>
      </c>
      <c r="D1558" s="88">
        <f>+D1546+D1552+D1556+D1557</f>
        <v>8420047</v>
      </c>
      <c r="E1558" s="88">
        <f>+E1546+E1552+E1556+E1557</f>
        <v>6167483</v>
      </c>
      <c r="F1558" s="119">
        <f>+E1558/D1558</f>
        <v>0.7324760776275951</v>
      </c>
      <c r="G1558" s="117"/>
      <c r="H1558" s="118" t="s">
        <v>149</v>
      </c>
      <c r="I1558" s="88">
        <f>+I1557+I1556+I1546</f>
        <v>8420047</v>
      </c>
      <c r="J1558" s="88">
        <f>+J1557+J1556+J1546</f>
        <v>8420047</v>
      </c>
      <c r="K1558" s="88">
        <f>+K1557+K1556+K1546</f>
        <v>5593413</v>
      </c>
      <c r="L1558" s="119">
        <f>+K1558/J1558</f>
        <v>0.6642971232820909</v>
      </c>
    </row>
    <row r="1559" spans="1:12" s="90" customFormat="1" ht="12.75" customHeight="1">
      <c r="A1559" s="124"/>
      <c r="B1559" s="124"/>
      <c r="C1559" s="93"/>
      <c r="D1559" s="93"/>
      <c r="E1559" s="93"/>
      <c r="F1559" s="93"/>
      <c r="G1559" s="124"/>
      <c r="H1559" s="124"/>
      <c r="I1559" s="93"/>
      <c r="J1559" s="93"/>
      <c r="K1559" s="93"/>
      <c r="L1559" s="93"/>
    </row>
    <row r="1560" spans="1:12" s="90" customFormat="1" ht="12.75" customHeight="1" thickBot="1">
      <c r="A1560" s="90" t="s">
        <v>834</v>
      </c>
      <c r="B1560" s="124"/>
      <c r="C1560" s="93"/>
      <c r="D1560" s="93"/>
      <c r="E1560" s="93"/>
      <c r="F1560" s="93"/>
      <c r="G1560" s="124"/>
      <c r="H1560" s="124"/>
      <c r="I1560" s="595"/>
      <c r="J1560" s="595"/>
      <c r="K1560" s="93"/>
      <c r="L1560" s="596" t="s">
        <v>216</v>
      </c>
    </row>
    <row r="1561" spans="1:12" s="90" customFormat="1" ht="24.75" customHeight="1">
      <c r="A1561" s="96"/>
      <c r="B1561" s="97" t="s">
        <v>104</v>
      </c>
      <c r="C1561" s="86" t="s">
        <v>227</v>
      </c>
      <c r="D1561" s="86" t="s">
        <v>844</v>
      </c>
      <c r="E1561" s="86" t="s">
        <v>303</v>
      </c>
      <c r="F1561" s="87" t="s">
        <v>304</v>
      </c>
      <c r="G1561" s="96">
        <v>112</v>
      </c>
      <c r="H1561" s="97" t="s">
        <v>105</v>
      </c>
      <c r="I1561" s="86" t="s">
        <v>227</v>
      </c>
      <c r="J1561" s="86" t="s">
        <v>844</v>
      </c>
      <c r="K1561" s="86" t="s">
        <v>303</v>
      </c>
      <c r="L1561" s="87" t="s">
        <v>304</v>
      </c>
    </row>
    <row r="1562" spans="1:12" s="90" customFormat="1" ht="12.75" customHeight="1">
      <c r="A1562" s="99" t="s">
        <v>23</v>
      </c>
      <c r="B1562" s="100" t="s">
        <v>108</v>
      </c>
      <c r="C1562" s="101">
        <f>+C1563+C1565+C1566+C1567</f>
        <v>78956</v>
      </c>
      <c r="D1562" s="101">
        <f>+D1563+D1565+D1566+D1567</f>
        <v>78956</v>
      </c>
      <c r="E1562" s="101">
        <f>+E1563+E1565+E1566+E1567</f>
        <v>0</v>
      </c>
      <c r="F1562" s="102">
        <f>+E1562/D1562+IF(F1562=0/0,0%)</f>
        <v>0</v>
      </c>
      <c r="G1562" s="99" t="s">
        <v>23</v>
      </c>
      <c r="H1562" s="100" t="s">
        <v>129</v>
      </c>
      <c r="I1562" s="101">
        <f>SUM(I1563:I1567)</f>
        <v>78956</v>
      </c>
      <c r="J1562" s="101">
        <f>SUM(J1563:J1567)</f>
        <v>78956</v>
      </c>
      <c r="K1562" s="101">
        <v>0</v>
      </c>
      <c r="L1562" s="102">
        <f>+K1562/J1562</f>
        <v>0</v>
      </c>
    </row>
    <row r="1563" spans="1:12" s="90" customFormat="1" ht="12.75" customHeight="1">
      <c r="A1563" s="99" t="s">
        <v>111</v>
      </c>
      <c r="B1563" s="116" t="s">
        <v>209</v>
      </c>
      <c r="C1563" s="106">
        <f>C1564</f>
        <v>78956</v>
      </c>
      <c r="D1563" s="106">
        <f>D1564</f>
        <v>78956</v>
      </c>
      <c r="E1563" s="106">
        <f>E1564</f>
        <v>0</v>
      </c>
      <c r="F1563" s="599">
        <f>+E1563/D1563+IF(F1563=0/0,0%)</f>
        <v>0</v>
      </c>
      <c r="G1563" s="99" t="s">
        <v>111</v>
      </c>
      <c r="H1563" s="116" t="s">
        <v>80</v>
      </c>
      <c r="I1563" s="106"/>
      <c r="J1563" s="106"/>
      <c r="K1563" s="106"/>
      <c r="L1563" s="599"/>
    </row>
    <row r="1564" spans="1:12" s="90" customFormat="1" ht="12.75" customHeight="1">
      <c r="A1564" s="99"/>
      <c r="B1564" s="116" t="s">
        <v>210</v>
      </c>
      <c r="C1564" s="106">
        <v>78956</v>
      </c>
      <c r="D1564" s="106">
        <v>78956</v>
      </c>
      <c r="E1564" s="106">
        <v>0</v>
      </c>
      <c r="F1564" s="599">
        <f>+E1564/D1564+IF(F1564=0/0,0%)</f>
        <v>0</v>
      </c>
      <c r="G1564" s="99" t="s">
        <v>112</v>
      </c>
      <c r="H1564" s="116" t="s">
        <v>147</v>
      </c>
      <c r="I1564" s="106"/>
      <c r="J1564" s="106"/>
      <c r="K1564" s="106"/>
      <c r="L1564" s="599"/>
    </row>
    <row r="1565" spans="1:12" s="90" customFormat="1" ht="12.75" customHeight="1">
      <c r="A1565" s="99" t="s">
        <v>112</v>
      </c>
      <c r="B1565" s="116" t="s">
        <v>9</v>
      </c>
      <c r="C1565" s="106"/>
      <c r="D1565" s="106"/>
      <c r="E1565" s="106"/>
      <c r="F1565" s="599"/>
      <c r="G1565" s="99" t="s">
        <v>113</v>
      </c>
      <c r="H1565" s="116" t="s">
        <v>83</v>
      </c>
      <c r="I1565" s="106">
        <v>50000</v>
      </c>
      <c r="J1565" s="106">
        <v>50000</v>
      </c>
      <c r="K1565" s="106">
        <v>0</v>
      </c>
      <c r="L1565" s="599">
        <f>+K1565/J1565+IF(L1565=0/0,0%)</f>
        <v>0</v>
      </c>
    </row>
    <row r="1566" spans="1:12" s="90" customFormat="1" ht="12.75" customHeight="1">
      <c r="A1566" s="99" t="s">
        <v>113</v>
      </c>
      <c r="B1566" s="116" t="s">
        <v>170</v>
      </c>
      <c r="C1566" s="106"/>
      <c r="D1566" s="106"/>
      <c r="E1566" s="106"/>
      <c r="F1566" s="599"/>
      <c r="G1566" s="99" t="s">
        <v>114</v>
      </c>
      <c r="H1566" s="116" t="s">
        <v>84</v>
      </c>
      <c r="I1566" s="106"/>
      <c r="J1566" s="106"/>
      <c r="K1566" s="106"/>
      <c r="L1566" s="599"/>
    </row>
    <row r="1567" spans="1:12" s="90" customFormat="1" ht="12.75" customHeight="1">
      <c r="A1567" s="99" t="s">
        <v>114</v>
      </c>
      <c r="B1567" s="116" t="s">
        <v>181</v>
      </c>
      <c r="C1567" s="106"/>
      <c r="D1567" s="106"/>
      <c r="E1567" s="106"/>
      <c r="F1567" s="599"/>
      <c r="G1567" s="99" t="s">
        <v>115</v>
      </c>
      <c r="H1567" s="116" t="s">
        <v>211</v>
      </c>
      <c r="I1567" s="106">
        <v>28956</v>
      </c>
      <c r="J1567" s="106">
        <v>28956</v>
      </c>
      <c r="K1567" s="106">
        <v>0</v>
      </c>
      <c r="L1567" s="599">
        <f>+K1567/J1567+IF(L1567=0/0,0%)</f>
        <v>0</v>
      </c>
    </row>
    <row r="1568" spans="1:12" s="90" customFormat="1" ht="12.75" customHeight="1">
      <c r="A1568" s="112" t="s">
        <v>45</v>
      </c>
      <c r="B1568" s="100" t="s">
        <v>118</v>
      </c>
      <c r="C1568" s="101"/>
      <c r="D1568" s="101"/>
      <c r="E1568" s="101"/>
      <c r="F1568" s="102"/>
      <c r="G1568" s="112" t="s">
        <v>45</v>
      </c>
      <c r="H1568" s="100" t="s">
        <v>130</v>
      </c>
      <c r="I1568" s="101"/>
      <c r="J1568" s="101"/>
      <c r="K1568" s="101"/>
      <c r="L1568" s="102"/>
    </row>
    <row r="1569" spans="1:12" s="90" customFormat="1" ht="12.75" customHeight="1">
      <c r="A1569" s="112" t="s">
        <v>111</v>
      </c>
      <c r="B1569" s="100" t="s">
        <v>106</v>
      </c>
      <c r="C1569" s="106"/>
      <c r="D1569" s="106"/>
      <c r="E1569" s="106"/>
      <c r="F1569" s="599"/>
      <c r="G1569" s="112" t="s">
        <v>111</v>
      </c>
      <c r="H1569" s="100" t="s">
        <v>131</v>
      </c>
      <c r="I1569" s="106"/>
      <c r="J1569" s="106"/>
      <c r="K1569" s="106"/>
      <c r="L1569" s="599"/>
    </row>
    <row r="1570" spans="1:12" s="90" customFormat="1" ht="12.75" customHeight="1">
      <c r="A1570" s="112" t="s">
        <v>112</v>
      </c>
      <c r="B1570" s="100" t="s">
        <v>39</v>
      </c>
      <c r="C1570" s="106"/>
      <c r="D1570" s="106"/>
      <c r="E1570" s="106"/>
      <c r="F1570" s="599"/>
      <c r="G1570" s="112" t="s">
        <v>112</v>
      </c>
      <c r="H1570" s="100" t="s">
        <v>87</v>
      </c>
      <c r="I1570" s="106"/>
      <c r="J1570" s="106"/>
      <c r="K1570" s="106"/>
      <c r="L1570" s="599"/>
    </row>
    <row r="1571" spans="1:12" s="90" customFormat="1" ht="12.75" customHeight="1">
      <c r="A1571" s="112" t="s">
        <v>113</v>
      </c>
      <c r="B1571" s="100" t="s">
        <v>201</v>
      </c>
      <c r="C1571" s="106"/>
      <c r="D1571" s="106"/>
      <c r="E1571" s="106"/>
      <c r="F1571" s="599"/>
      <c r="G1571" s="112" t="s">
        <v>113</v>
      </c>
      <c r="H1571" s="100" t="s">
        <v>90</v>
      </c>
      <c r="I1571" s="106"/>
      <c r="J1571" s="106"/>
      <c r="K1571" s="106"/>
      <c r="L1571" s="599"/>
    </row>
    <row r="1572" spans="1:12" s="90" customFormat="1" ht="12.75" customHeight="1">
      <c r="A1572" s="112" t="s">
        <v>56</v>
      </c>
      <c r="B1572" s="100" t="s">
        <v>126</v>
      </c>
      <c r="C1572" s="101"/>
      <c r="D1572" s="101"/>
      <c r="E1572" s="101"/>
      <c r="F1572" s="102"/>
      <c r="G1572" s="112" t="s">
        <v>56</v>
      </c>
      <c r="H1572" s="100" t="s">
        <v>132</v>
      </c>
      <c r="I1572" s="101"/>
      <c r="J1572" s="101"/>
      <c r="K1572" s="101"/>
      <c r="L1572" s="102"/>
    </row>
    <row r="1573" spans="1:12" s="90" customFormat="1" ht="12.75" customHeight="1">
      <c r="A1573" s="99" t="s">
        <v>64</v>
      </c>
      <c r="B1573" s="116" t="s">
        <v>127</v>
      </c>
      <c r="C1573" s="101"/>
      <c r="D1573" s="101"/>
      <c r="E1573" s="101"/>
      <c r="F1573" s="102"/>
      <c r="G1573" s="99" t="s">
        <v>64</v>
      </c>
      <c r="H1573" s="116" t="s">
        <v>133</v>
      </c>
      <c r="I1573" s="101"/>
      <c r="J1573" s="101"/>
      <c r="K1573" s="101"/>
      <c r="L1573" s="102"/>
    </row>
    <row r="1574" spans="1:12" s="124" customFormat="1" ht="12.75" customHeight="1" thickBot="1">
      <c r="A1574" s="117"/>
      <c r="B1574" s="118" t="s">
        <v>148</v>
      </c>
      <c r="C1574" s="88">
        <f>+C1562+C1568+C1572+C1573</f>
        <v>78956</v>
      </c>
      <c r="D1574" s="88">
        <f>+D1562+D1568+D1572+D1573</f>
        <v>78956</v>
      </c>
      <c r="E1574" s="88">
        <f>+E1562+E1568+E1572+E1573</f>
        <v>0</v>
      </c>
      <c r="F1574" s="119">
        <f>+E1574/D1574+IF(F1574=0/0,0%)</f>
        <v>0</v>
      </c>
      <c r="G1574" s="117"/>
      <c r="H1574" s="118" t="s">
        <v>149</v>
      </c>
      <c r="I1574" s="88">
        <f>+I1573+I1572+I1568+I1562</f>
        <v>78956</v>
      </c>
      <c r="J1574" s="88">
        <f>+J1573+J1572+J1568+J1562</f>
        <v>78956</v>
      </c>
      <c r="K1574" s="88">
        <f>+K1573+K1572+K1568+K1562</f>
        <v>0</v>
      </c>
      <c r="L1574" s="119">
        <f>+K1574/J1574</f>
        <v>0</v>
      </c>
    </row>
    <row r="1575" spans="1:12" s="90" customFormat="1" ht="12.75" customHeight="1">
      <c r="A1575" s="124"/>
      <c r="B1575" s="124"/>
      <c r="C1575" s="93"/>
      <c r="D1575" s="93"/>
      <c r="E1575" s="93"/>
      <c r="F1575" s="93"/>
      <c r="G1575" s="124"/>
      <c r="H1575" s="124"/>
      <c r="I1575" s="93"/>
      <c r="J1575" s="93"/>
      <c r="K1575" s="93"/>
      <c r="L1575" s="93"/>
    </row>
    <row r="1576" spans="1:12" s="90" customFormat="1" ht="12.75" customHeight="1" thickBot="1">
      <c r="A1576" s="90" t="s">
        <v>835</v>
      </c>
      <c r="B1576" s="124"/>
      <c r="C1576" s="93"/>
      <c r="D1576" s="93"/>
      <c r="E1576" s="93"/>
      <c r="F1576" s="93"/>
      <c r="G1576" s="124"/>
      <c r="H1576" s="124"/>
      <c r="I1576" s="595"/>
      <c r="J1576" s="595"/>
      <c r="K1576" s="93"/>
      <c r="L1576" s="596" t="s">
        <v>216</v>
      </c>
    </row>
    <row r="1577" spans="1:12" s="90" customFormat="1" ht="24.75" customHeight="1">
      <c r="A1577" s="96"/>
      <c r="B1577" s="97" t="s">
        <v>104</v>
      </c>
      <c r="C1577" s="86" t="s">
        <v>227</v>
      </c>
      <c r="D1577" s="86" t="s">
        <v>844</v>
      </c>
      <c r="E1577" s="86" t="s">
        <v>303</v>
      </c>
      <c r="F1577" s="87" t="s">
        <v>304</v>
      </c>
      <c r="G1577" s="96">
        <v>113</v>
      </c>
      <c r="H1577" s="97" t="s">
        <v>105</v>
      </c>
      <c r="I1577" s="86" t="s">
        <v>227</v>
      </c>
      <c r="J1577" s="86" t="s">
        <v>844</v>
      </c>
      <c r="K1577" s="86" t="s">
        <v>303</v>
      </c>
      <c r="L1577" s="87" t="s">
        <v>304</v>
      </c>
    </row>
    <row r="1578" spans="1:12" s="90" customFormat="1" ht="12.75" customHeight="1">
      <c r="A1578" s="99" t="s">
        <v>23</v>
      </c>
      <c r="B1578" s="100" t="s">
        <v>108</v>
      </c>
      <c r="C1578" s="101"/>
      <c r="D1578" s="101"/>
      <c r="E1578" s="101"/>
      <c r="F1578" s="102"/>
      <c r="G1578" s="99" t="s">
        <v>23</v>
      </c>
      <c r="H1578" s="100" t="s">
        <v>129</v>
      </c>
      <c r="I1578" s="101">
        <f>SUM(I1579:I1583)</f>
        <v>1142736</v>
      </c>
      <c r="J1578" s="101">
        <f>SUM(J1579:J1583)</f>
        <v>1142736</v>
      </c>
      <c r="K1578" s="101">
        <f>SUM(K1579:K1583)</f>
        <v>411250</v>
      </c>
      <c r="L1578" s="102">
        <f>+K1578/J1578</f>
        <v>0.359881897481133</v>
      </c>
    </row>
    <row r="1579" spans="1:12" s="90" customFormat="1" ht="12.75" customHeight="1">
      <c r="A1579" s="99" t="s">
        <v>111</v>
      </c>
      <c r="B1579" s="116" t="s">
        <v>209</v>
      </c>
      <c r="C1579" s="106"/>
      <c r="D1579" s="106"/>
      <c r="E1579" s="106"/>
      <c r="F1579" s="599"/>
      <c r="G1579" s="99" t="s">
        <v>111</v>
      </c>
      <c r="H1579" s="116" t="s">
        <v>80</v>
      </c>
      <c r="I1579" s="106">
        <v>956265</v>
      </c>
      <c r="J1579" s="106">
        <v>956265</v>
      </c>
      <c r="K1579" s="106">
        <v>350000</v>
      </c>
      <c r="L1579" s="599">
        <f>+K1579/J1579</f>
        <v>0.3660073306039644</v>
      </c>
    </row>
    <row r="1580" spans="1:12" s="90" customFormat="1" ht="12.75" customHeight="1">
      <c r="A1580" s="99"/>
      <c r="B1580" s="116" t="s">
        <v>210</v>
      </c>
      <c r="C1580" s="106"/>
      <c r="D1580" s="106"/>
      <c r="E1580" s="106"/>
      <c r="F1580" s="599"/>
      <c r="G1580" s="99" t="s">
        <v>112</v>
      </c>
      <c r="H1580" s="116" t="s">
        <v>147</v>
      </c>
      <c r="I1580" s="106">
        <v>186471</v>
      </c>
      <c r="J1580" s="106">
        <v>186471</v>
      </c>
      <c r="K1580" s="106">
        <v>61250</v>
      </c>
      <c r="L1580" s="599">
        <f>+K1580/J1580</f>
        <v>0.3284693062191976</v>
      </c>
    </row>
    <row r="1581" spans="1:12" s="90" customFormat="1" ht="12.75" customHeight="1">
      <c r="A1581" s="99" t="s">
        <v>112</v>
      </c>
      <c r="B1581" s="116" t="s">
        <v>9</v>
      </c>
      <c r="C1581" s="106"/>
      <c r="D1581" s="106"/>
      <c r="E1581" s="106"/>
      <c r="F1581" s="599"/>
      <c r="G1581" s="99" t="s">
        <v>113</v>
      </c>
      <c r="H1581" s="116" t="s">
        <v>83</v>
      </c>
      <c r="I1581" s="106"/>
      <c r="J1581" s="106"/>
      <c r="K1581" s="106"/>
      <c r="L1581" s="599"/>
    </row>
    <row r="1582" spans="1:12" s="90" customFormat="1" ht="12.75" customHeight="1">
      <c r="A1582" s="99" t="s">
        <v>113</v>
      </c>
      <c r="B1582" s="116" t="s">
        <v>170</v>
      </c>
      <c r="C1582" s="106"/>
      <c r="D1582" s="106"/>
      <c r="E1582" s="106"/>
      <c r="F1582" s="599"/>
      <c r="G1582" s="99" t="s">
        <v>114</v>
      </c>
      <c r="H1582" s="116" t="s">
        <v>84</v>
      </c>
      <c r="I1582" s="106"/>
      <c r="J1582" s="106"/>
      <c r="K1582" s="106"/>
      <c r="L1582" s="599"/>
    </row>
    <row r="1583" spans="1:12" s="90" customFormat="1" ht="12.75" customHeight="1">
      <c r="A1583" s="99" t="s">
        <v>114</v>
      </c>
      <c r="B1583" s="116" t="s">
        <v>181</v>
      </c>
      <c r="C1583" s="106"/>
      <c r="D1583" s="106"/>
      <c r="E1583" s="106"/>
      <c r="F1583" s="599"/>
      <c r="G1583" s="99" t="s">
        <v>115</v>
      </c>
      <c r="H1583" s="116" t="s">
        <v>211</v>
      </c>
      <c r="I1583" s="106"/>
      <c r="J1583" s="106"/>
      <c r="K1583" s="106"/>
      <c r="L1583" s="599"/>
    </row>
    <row r="1584" spans="1:12" s="90" customFormat="1" ht="12.75" customHeight="1">
      <c r="A1584" s="112" t="s">
        <v>45</v>
      </c>
      <c r="B1584" s="100" t="s">
        <v>118</v>
      </c>
      <c r="C1584" s="101"/>
      <c r="D1584" s="101"/>
      <c r="E1584" s="101"/>
      <c r="F1584" s="102"/>
      <c r="G1584" s="112" t="s">
        <v>45</v>
      </c>
      <c r="H1584" s="100" t="s">
        <v>130</v>
      </c>
      <c r="I1584" s="101"/>
      <c r="J1584" s="101"/>
      <c r="K1584" s="101"/>
      <c r="L1584" s="102"/>
    </row>
    <row r="1585" spans="1:12" s="90" customFormat="1" ht="12.75" customHeight="1">
      <c r="A1585" s="112" t="s">
        <v>111</v>
      </c>
      <c r="B1585" s="100" t="s">
        <v>106</v>
      </c>
      <c r="C1585" s="106"/>
      <c r="D1585" s="106"/>
      <c r="E1585" s="106"/>
      <c r="F1585" s="599"/>
      <c r="G1585" s="112" t="s">
        <v>111</v>
      </c>
      <c r="H1585" s="100" t="s">
        <v>131</v>
      </c>
      <c r="I1585" s="106"/>
      <c r="J1585" s="106"/>
      <c r="K1585" s="106"/>
      <c r="L1585" s="599"/>
    </row>
    <row r="1586" spans="1:12" s="90" customFormat="1" ht="12.75" customHeight="1">
      <c r="A1586" s="112" t="s">
        <v>112</v>
      </c>
      <c r="B1586" s="100" t="s">
        <v>39</v>
      </c>
      <c r="C1586" s="106"/>
      <c r="D1586" s="106"/>
      <c r="E1586" s="106"/>
      <c r="F1586" s="599"/>
      <c r="G1586" s="112" t="s">
        <v>112</v>
      </c>
      <c r="H1586" s="100" t="s">
        <v>87</v>
      </c>
      <c r="I1586" s="106"/>
      <c r="J1586" s="106"/>
      <c r="K1586" s="106"/>
      <c r="L1586" s="599"/>
    </row>
    <row r="1587" spans="1:12" s="90" customFormat="1" ht="12.75" customHeight="1">
      <c r="A1587" s="112" t="s">
        <v>113</v>
      </c>
      <c r="B1587" s="100" t="s">
        <v>201</v>
      </c>
      <c r="C1587" s="106"/>
      <c r="D1587" s="106"/>
      <c r="E1587" s="106"/>
      <c r="F1587" s="599"/>
      <c r="G1587" s="112" t="s">
        <v>113</v>
      </c>
      <c r="H1587" s="100" t="s">
        <v>90</v>
      </c>
      <c r="I1587" s="106"/>
      <c r="J1587" s="106"/>
      <c r="K1587" s="106"/>
      <c r="L1587" s="599"/>
    </row>
    <row r="1588" spans="1:12" s="90" customFormat="1" ht="12.75" customHeight="1">
      <c r="A1588" s="112" t="s">
        <v>56</v>
      </c>
      <c r="B1588" s="100" t="s">
        <v>126</v>
      </c>
      <c r="C1588" s="101">
        <v>1142736</v>
      </c>
      <c r="D1588" s="101">
        <v>1142736</v>
      </c>
      <c r="E1588" s="101">
        <v>0</v>
      </c>
      <c r="F1588" s="102">
        <f>+E1588/D1588+IF(F1588=0/0,0%)</f>
        <v>0</v>
      </c>
      <c r="G1588" s="112" t="s">
        <v>56</v>
      </c>
      <c r="H1588" s="100" t="s">
        <v>132</v>
      </c>
      <c r="I1588" s="101"/>
      <c r="J1588" s="101"/>
      <c r="K1588" s="101"/>
      <c r="L1588" s="102"/>
    </row>
    <row r="1589" spans="1:12" s="90" customFormat="1" ht="12.75" customHeight="1">
      <c r="A1589" s="99" t="s">
        <v>64</v>
      </c>
      <c r="B1589" s="116" t="s">
        <v>127</v>
      </c>
      <c r="C1589" s="101"/>
      <c r="D1589" s="101"/>
      <c r="E1589" s="101"/>
      <c r="F1589" s="102"/>
      <c r="G1589" s="99" t="s">
        <v>64</v>
      </c>
      <c r="H1589" s="116" t="s">
        <v>133</v>
      </c>
      <c r="I1589" s="101"/>
      <c r="J1589" s="101"/>
      <c r="K1589" s="101"/>
      <c r="L1589" s="102"/>
    </row>
    <row r="1590" spans="1:12" s="124" customFormat="1" ht="12.75" customHeight="1" thickBot="1">
      <c r="A1590" s="117"/>
      <c r="B1590" s="118" t="s">
        <v>148</v>
      </c>
      <c r="C1590" s="88">
        <f>+C1578+C1584+C1588+C1589</f>
        <v>1142736</v>
      </c>
      <c r="D1590" s="88">
        <f>+D1578+D1584+D1588+D1589</f>
        <v>1142736</v>
      </c>
      <c r="E1590" s="88">
        <f>+E1578+E1584+E1588+E1589</f>
        <v>0</v>
      </c>
      <c r="F1590" s="119">
        <f>+E1590/D1590+IF(F1590=0/0,0%)</f>
        <v>0</v>
      </c>
      <c r="G1590" s="117"/>
      <c r="H1590" s="118" t="s">
        <v>149</v>
      </c>
      <c r="I1590" s="88">
        <f>+I1581+I1578</f>
        <v>1142736</v>
      </c>
      <c r="J1590" s="88">
        <f>+J1581+J1578</f>
        <v>1142736</v>
      </c>
      <c r="K1590" s="88">
        <f>+K1581+K1578</f>
        <v>411250</v>
      </c>
      <c r="L1590" s="119">
        <f>+K1590/J1590</f>
        <v>0.359881897481133</v>
      </c>
    </row>
    <row r="1591" spans="1:12" s="90" customFormat="1" ht="12.75" customHeight="1">
      <c r="A1591" s="124"/>
      <c r="B1591" s="124"/>
      <c r="C1591" s="93"/>
      <c r="D1591" s="93"/>
      <c r="E1591" s="639"/>
      <c r="F1591" s="639"/>
      <c r="G1591" s="124"/>
      <c r="H1591" s="124"/>
      <c r="I1591" s="93"/>
      <c r="J1591" s="93"/>
      <c r="K1591" s="639"/>
      <c r="L1591" s="639"/>
    </row>
    <row r="1592" spans="1:12" s="90" customFormat="1" ht="12.75" customHeight="1" thickBot="1">
      <c r="A1592" s="90" t="s">
        <v>836</v>
      </c>
      <c r="B1592" s="124"/>
      <c r="C1592" s="93"/>
      <c r="D1592" s="93"/>
      <c r="E1592" s="93"/>
      <c r="F1592" s="93"/>
      <c r="G1592" s="124"/>
      <c r="H1592" s="124"/>
      <c r="I1592" s="595"/>
      <c r="J1592" s="595"/>
      <c r="K1592" s="93"/>
      <c r="L1592" s="596" t="s">
        <v>216</v>
      </c>
    </row>
    <row r="1593" spans="1:12" s="90" customFormat="1" ht="24.75" customHeight="1">
      <c r="A1593" s="96"/>
      <c r="B1593" s="97" t="s">
        <v>104</v>
      </c>
      <c r="C1593" s="86" t="s">
        <v>227</v>
      </c>
      <c r="D1593" s="86" t="s">
        <v>844</v>
      </c>
      <c r="E1593" s="86" t="s">
        <v>303</v>
      </c>
      <c r="F1593" s="87" t="s">
        <v>304</v>
      </c>
      <c r="G1593" s="96">
        <v>132</v>
      </c>
      <c r="H1593" s="97" t="s">
        <v>105</v>
      </c>
      <c r="I1593" s="86" t="s">
        <v>227</v>
      </c>
      <c r="J1593" s="86" t="s">
        <v>844</v>
      </c>
      <c r="K1593" s="86" t="s">
        <v>303</v>
      </c>
      <c r="L1593" s="87" t="s">
        <v>304</v>
      </c>
    </row>
    <row r="1594" spans="1:12" s="90" customFormat="1" ht="12.75" customHeight="1">
      <c r="A1594" s="99" t="s">
        <v>23</v>
      </c>
      <c r="B1594" s="100" t="s">
        <v>108</v>
      </c>
      <c r="C1594" s="101"/>
      <c r="D1594" s="101"/>
      <c r="E1594" s="101"/>
      <c r="F1594" s="102"/>
      <c r="G1594" s="99" t="s">
        <v>23</v>
      </c>
      <c r="H1594" s="100" t="s">
        <v>129</v>
      </c>
      <c r="I1594" s="101">
        <f>SUM(I1595:I1599)</f>
        <v>1543000</v>
      </c>
      <c r="J1594" s="101">
        <f>SUM(J1595:J1599)</f>
        <v>1543000</v>
      </c>
      <c r="K1594" s="101">
        <f>SUM(K1595:K1599)</f>
        <v>889628</v>
      </c>
      <c r="L1594" s="102">
        <f>+K1594/J1594</f>
        <v>0.5765573558003888</v>
      </c>
    </row>
    <row r="1595" spans="1:12" s="90" customFormat="1" ht="12.75" customHeight="1">
      <c r="A1595" s="99" t="s">
        <v>111</v>
      </c>
      <c r="B1595" s="116" t="s">
        <v>209</v>
      </c>
      <c r="C1595" s="106"/>
      <c r="D1595" s="106"/>
      <c r="E1595" s="106"/>
      <c r="F1595" s="599"/>
      <c r="G1595" s="99" t="s">
        <v>111</v>
      </c>
      <c r="H1595" s="116" t="s">
        <v>80</v>
      </c>
      <c r="I1595" s="106">
        <v>1333045</v>
      </c>
      <c r="J1595" s="106">
        <v>1333045</v>
      </c>
      <c r="K1595" s="106">
        <v>774600</v>
      </c>
      <c r="L1595" s="599">
        <f>+K1595/J1595</f>
        <v>0.5810756576109584</v>
      </c>
    </row>
    <row r="1596" spans="1:12" s="90" customFormat="1" ht="12.75" customHeight="1">
      <c r="A1596" s="99"/>
      <c r="B1596" s="116" t="s">
        <v>210</v>
      </c>
      <c r="C1596" s="106"/>
      <c r="D1596" s="106"/>
      <c r="E1596" s="106"/>
      <c r="F1596" s="599"/>
      <c r="G1596" s="99" t="s">
        <v>112</v>
      </c>
      <c r="H1596" s="116" t="s">
        <v>147</v>
      </c>
      <c r="I1596" s="106">
        <v>209955</v>
      </c>
      <c r="J1596" s="106">
        <v>209955</v>
      </c>
      <c r="K1596" s="106">
        <v>115028</v>
      </c>
      <c r="L1596" s="599">
        <f>+K1596/J1596</f>
        <v>0.5478697816198709</v>
      </c>
    </row>
    <row r="1597" spans="1:12" s="90" customFormat="1" ht="12.75" customHeight="1">
      <c r="A1597" s="99" t="s">
        <v>112</v>
      </c>
      <c r="B1597" s="116" t="s">
        <v>9</v>
      </c>
      <c r="C1597" s="106"/>
      <c r="D1597" s="106"/>
      <c r="E1597" s="106"/>
      <c r="F1597" s="599"/>
      <c r="G1597" s="99" t="s">
        <v>113</v>
      </c>
      <c r="H1597" s="116" t="s">
        <v>83</v>
      </c>
      <c r="I1597" s="106"/>
      <c r="J1597" s="106"/>
      <c r="K1597" s="106"/>
      <c r="L1597" s="599"/>
    </row>
    <row r="1598" spans="1:12" s="90" customFormat="1" ht="12.75" customHeight="1">
      <c r="A1598" s="99" t="s">
        <v>113</v>
      </c>
      <c r="B1598" s="116" t="s">
        <v>170</v>
      </c>
      <c r="C1598" s="106"/>
      <c r="D1598" s="106"/>
      <c r="E1598" s="106"/>
      <c r="F1598" s="599"/>
      <c r="G1598" s="99" t="s">
        <v>114</v>
      </c>
      <c r="H1598" s="116" t="s">
        <v>84</v>
      </c>
      <c r="I1598" s="106"/>
      <c r="J1598" s="106"/>
      <c r="K1598" s="106"/>
      <c r="L1598" s="599"/>
    </row>
    <row r="1599" spans="1:12" s="90" customFormat="1" ht="12.75" customHeight="1">
      <c r="A1599" s="99" t="s">
        <v>114</v>
      </c>
      <c r="B1599" s="116" t="s">
        <v>181</v>
      </c>
      <c r="C1599" s="106"/>
      <c r="D1599" s="106"/>
      <c r="E1599" s="106"/>
      <c r="F1599" s="599"/>
      <c r="G1599" s="99" t="s">
        <v>115</v>
      </c>
      <c r="H1599" s="116" t="s">
        <v>211</v>
      </c>
      <c r="I1599" s="106"/>
      <c r="J1599" s="106"/>
      <c r="K1599" s="106"/>
      <c r="L1599" s="599"/>
    </row>
    <row r="1600" spans="1:12" s="90" customFormat="1" ht="12.75" customHeight="1">
      <c r="A1600" s="112" t="s">
        <v>45</v>
      </c>
      <c r="B1600" s="100" t="s">
        <v>118</v>
      </c>
      <c r="C1600" s="101"/>
      <c r="D1600" s="101"/>
      <c r="E1600" s="101"/>
      <c r="F1600" s="102"/>
      <c r="G1600" s="112" t="s">
        <v>45</v>
      </c>
      <c r="H1600" s="100" t="s">
        <v>130</v>
      </c>
      <c r="I1600" s="101"/>
      <c r="J1600" s="101"/>
      <c r="K1600" s="101"/>
      <c r="L1600" s="102"/>
    </row>
    <row r="1601" spans="1:12" s="90" customFormat="1" ht="12.75" customHeight="1">
      <c r="A1601" s="112" t="s">
        <v>111</v>
      </c>
      <c r="B1601" s="100" t="s">
        <v>106</v>
      </c>
      <c r="C1601" s="106"/>
      <c r="D1601" s="106"/>
      <c r="E1601" s="106"/>
      <c r="F1601" s="599"/>
      <c r="G1601" s="112" t="s">
        <v>111</v>
      </c>
      <c r="H1601" s="100" t="s">
        <v>131</v>
      </c>
      <c r="I1601" s="106"/>
      <c r="J1601" s="106"/>
      <c r="K1601" s="106"/>
      <c r="L1601" s="599"/>
    </row>
    <row r="1602" spans="1:12" s="90" customFormat="1" ht="12.75" customHeight="1">
      <c r="A1602" s="112" t="s">
        <v>112</v>
      </c>
      <c r="B1602" s="100" t="s">
        <v>39</v>
      </c>
      <c r="C1602" s="106"/>
      <c r="D1602" s="106"/>
      <c r="E1602" s="106"/>
      <c r="F1602" s="599"/>
      <c r="G1602" s="112" t="s">
        <v>112</v>
      </c>
      <c r="H1602" s="100" t="s">
        <v>87</v>
      </c>
      <c r="I1602" s="106"/>
      <c r="J1602" s="106"/>
      <c r="K1602" s="106"/>
      <c r="L1602" s="599"/>
    </row>
    <row r="1603" spans="1:12" s="90" customFormat="1" ht="12.75" customHeight="1">
      <c r="A1603" s="112" t="s">
        <v>113</v>
      </c>
      <c r="B1603" s="100" t="s">
        <v>201</v>
      </c>
      <c r="C1603" s="106"/>
      <c r="D1603" s="106"/>
      <c r="E1603" s="106"/>
      <c r="F1603" s="599"/>
      <c r="G1603" s="112" t="s">
        <v>113</v>
      </c>
      <c r="H1603" s="100" t="s">
        <v>90</v>
      </c>
      <c r="I1603" s="106"/>
      <c r="J1603" s="106"/>
      <c r="K1603" s="106"/>
      <c r="L1603" s="599"/>
    </row>
    <row r="1604" spans="1:12" s="90" customFormat="1" ht="12.75" customHeight="1">
      <c r="A1604" s="112" t="s">
        <v>56</v>
      </c>
      <c r="B1604" s="100" t="s">
        <v>126</v>
      </c>
      <c r="C1604" s="101">
        <v>1543000</v>
      </c>
      <c r="D1604" s="101">
        <v>1543000</v>
      </c>
      <c r="E1604" s="101">
        <v>1543000</v>
      </c>
      <c r="F1604" s="102">
        <f>+E1604/D1604</f>
        <v>1</v>
      </c>
      <c r="G1604" s="112" t="s">
        <v>56</v>
      </c>
      <c r="H1604" s="100" t="s">
        <v>132</v>
      </c>
      <c r="I1604" s="101"/>
      <c r="J1604" s="101"/>
      <c r="K1604" s="101"/>
      <c r="L1604" s="102"/>
    </row>
    <row r="1605" spans="1:12" s="90" customFormat="1" ht="12.75" customHeight="1">
      <c r="A1605" s="99" t="s">
        <v>64</v>
      </c>
      <c r="B1605" s="116" t="s">
        <v>127</v>
      </c>
      <c r="C1605" s="101"/>
      <c r="D1605" s="101"/>
      <c r="E1605" s="101"/>
      <c r="F1605" s="102"/>
      <c r="G1605" s="99" t="s">
        <v>64</v>
      </c>
      <c r="H1605" s="116" t="s">
        <v>133</v>
      </c>
      <c r="I1605" s="101"/>
      <c r="J1605" s="101"/>
      <c r="K1605" s="101"/>
      <c r="L1605" s="102"/>
    </row>
    <row r="1606" spans="1:12" s="124" customFormat="1" ht="12.75" customHeight="1" thickBot="1">
      <c r="A1606" s="117"/>
      <c r="B1606" s="118" t="s">
        <v>148</v>
      </c>
      <c r="C1606" s="88">
        <f>+C1594+C1600+C1604+C1605</f>
        <v>1543000</v>
      </c>
      <c r="D1606" s="88">
        <f>+D1594+D1600+D1604+D1605</f>
        <v>1543000</v>
      </c>
      <c r="E1606" s="88">
        <f>+E1594+E1600+E1604+E1605</f>
        <v>1543000</v>
      </c>
      <c r="F1606" s="119">
        <f>+E1606/D1606</f>
        <v>1</v>
      </c>
      <c r="G1606" s="117"/>
      <c r="H1606" s="118" t="s">
        <v>149</v>
      </c>
      <c r="I1606" s="88">
        <f>+I1597+I1594</f>
        <v>1543000</v>
      </c>
      <c r="J1606" s="88">
        <f>+J1597+J1594</f>
        <v>1543000</v>
      </c>
      <c r="K1606" s="88">
        <f>+K1597+K1594</f>
        <v>889628</v>
      </c>
      <c r="L1606" s="119">
        <f>+K1606/J1606</f>
        <v>0.5765573558003888</v>
      </c>
    </row>
    <row r="1607" spans="1:12" s="90" customFormat="1" ht="25.5" customHeight="1">
      <c r="A1607" s="124"/>
      <c r="B1607" s="124"/>
      <c r="C1607" s="93"/>
      <c r="D1607" s="93"/>
      <c r="E1607" s="595"/>
      <c r="F1607" s="595"/>
      <c r="G1607" s="124"/>
      <c r="H1607" s="124"/>
      <c r="I1607" s="93"/>
      <c r="J1607" s="93"/>
      <c r="K1607" s="595"/>
      <c r="L1607" s="595"/>
    </row>
    <row r="1608" spans="1:12" s="90" customFormat="1" ht="12.75" customHeight="1" thickBot="1">
      <c r="A1608" s="90" t="s">
        <v>837</v>
      </c>
      <c r="B1608" s="124"/>
      <c r="C1608" s="93"/>
      <c r="D1608" s="93"/>
      <c r="E1608" s="93"/>
      <c r="F1608" s="93"/>
      <c r="G1608" s="124"/>
      <c r="H1608" s="124"/>
      <c r="I1608" s="595"/>
      <c r="J1608" s="595"/>
      <c r="K1608" s="93"/>
      <c r="L1608" s="596" t="s">
        <v>216</v>
      </c>
    </row>
    <row r="1609" spans="1:12" s="90" customFormat="1" ht="24.75" customHeight="1">
      <c r="A1609" s="96"/>
      <c r="B1609" s="97" t="s">
        <v>104</v>
      </c>
      <c r="C1609" s="86" t="s">
        <v>227</v>
      </c>
      <c r="D1609" s="86" t="s">
        <v>844</v>
      </c>
      <c r="E1609" s="86" t="s">
        <v>303</v>
      </c>
      <c r="F1609" s="87" t="s">
        <v>304</v>
      </c>
      <c r="G1609" s="96">
        <v>133</v>
      </c>
      <c r="H1609" s="97" t="s">
        <v>105</v>
      </c>
      <c r="I1609" s="86" t="s">
        <v>227</v>
      </c>
      <c r="J1609" s="86" t="s">
        <v>844</v>
      </c>
      <c r="K1609" s="86" t="s">
        <v>303</v>
      </c>
      <c r="L1609" s="87" t="s">
        <v>304</v>
      </c>
    </row>
    <row r="1610" spans="1:12" s="90" customFormat="1" ht="12.75" customHeight="1">
      <c r="A1610" s="99" t="s">
        <v>23</v>
      </c>
      <c r="B1610" s="100" t="s">
        <v>108</v>
      </c>
      <c r="C1610" s="101"/>
      <c r="D1610" s="101"/>
      <c r="E1610" s="101"/>
      <c r="F1610" s="102"/>
      <c r="G1610" s="99" t="s">
        <v>23</v>
      </c>
      <c r="H1610" s="100" t="s">
        <v>129</v>
      </c>
      <c r="I1610" s="101">
        <f>SUM(I1611:I1615)</f>
        <v>395560</v>
      </c>
      <c r="J1610" s="101">
        <f>SUM(J1611:J1615)</f>
        <v>395560</v>
      </c>
      <c r="K1610" s="101">
        <f>SUM(K1611:K1615)</f>
        <v>395559</v>
      </c>
      <c r="L1610" s="102">
        <f>+K1610/J1610</f>
        <v>0.9999974719385175</v>
      </c>
    </row>
    <row r="1611" spans="1:12" s="90" customFormat="1" ht="12.75" customHeight="1">
      <c r="A1611" s="99" t="s">
        <v>111</v>
      </c>
      <c r="B1611" s="116" t="s">
        <v>209</v>
      </c>
      <c r="C1611" s="106"/>
      <c r="D1611" s="106"/>
      <c r="E1611" s="106"/>
      <c r="F1611" s="599"/>
      <c r="G1611" s="99" t="s">
        <v>111</v>
      </c>
      <c r="H1611" s="116" t="s">
        <v>80</v>
      </c>
      <c r="I1611" s="106">
        <v>336646</v>
      </c>
      <c r="J1611" s="106">
        <v>336646</v>
      </c>
      <c r="K1611" s="106">
        <v>336646</v>
      </c>
      <c r="L1611" s="599">
        <f>+K1611/J1611</f>
        <v>1</v>
      </c>
    </row>
    <row r="1612" spans="1:12" s="90" customFormat="1" ht="12.75" customHeight="1">
      <c r="A1612" s="99"/>
      <c r="B1612" s="116" t="s">
        <v>210</v>
      </c>
      <c r="C1612" s="106"/>
      <c r="D1612" s="106"/>
      <c r="E1612" s="106"/>
      <c r="F1612" s="599"/>
      <c r="G1612" s="99" t="s">
        <v>112</v>
      </c>
      <c r="H1612" s="116" t="s">
        <v>147</v>
      </c>
      <c r="I1612" s="106">
        <f>58913+1</f>
        <v>58914</v>
      </c>
      <c r="J1612" s="106">
        <f>58913+1</f>
        <v>58914</v>
      </c>
      <c r="K1612" s="106">
        <v>58913</v>
      </c>
      <c r="L1612" s="599">
        <f>+K1612/J1612</f>
        <v>0.9999830261058492</v>
      </c>
    </row>
    <row r="1613" spans="1:12" s="90" customFormat="1" ht="12.75" customHeight="1">
      <c r="A1613" s="99" t="s">
        <v>112</v>
      </c>
      <c r="B1613" s="116" t="s">
        <v>9</v>
      </c>
      <c r="C1613" s="106"/>
      <c r="D1613" s="106"/>
      <c r="E1613" s="106"/>
      <c r="F1613" s="599"/>
      <c r="G1613" s="99" t="s">
        <v>113</v>
      </c>
      <c r="H1613" s="116" t="s">
        <v>83</v>
      </c>
      <c r="I1613" s="106"/>
      <c r="J1613" s="106"/>
      <c r="K1613" s="106"/>
      <c r="L1613" s="599"/>
    </row>
    <row r="1614" spans="1:12" s="90" customFormat="1" ht="12.75" customHeight="1">
      <c r="A1614" s="99" t="s">
        <v>113</v>
      </c>
      <c r="B1614" s="116" t="s">
        <v>170</v>
      </c>
      <c r="C1614" s="106"/>
      <c r="D1614" s="106"/>
      <c r="E1614" s="106"/>
      <c r="F1614" s="599"/>
      <c r="G1614" s="99" t="s">
        <v>114</v>
      </c>
      <c r="H1614" s="116" t="s">
        <v>84</v>
      </c>
      <c r="I1614" s="106"/>
      <c r="J1614" s="106"/>
      <c r="K1614" s="106"/>
      <c r="L1614" s="599"/>
    </row>
    <row r="1615" spans="1:12" s="90" customFormat="1" ht="12.75" customHeight="1">
      <c r="A1615" s="99" t="s">
        <v>114</v>
      </c>
      <c r="B1615" s="116" t="s">
        <v>181</v>
      </c>
      <c r="C1615" s="106"/>
      <c r="D1615" s="106"/>
      <c r="E1615" s="106"/>
      <c r="F1615" s="599"/>
      <c r="G1615" s="99" t="s">
        <v>115</v>
      </c>
      <c r="H1615" s="116" t="s">
        <v>211</v>
      </c>
      <c r="I1615" s="106"/>
      <c r="J1615" s="106"/>
      <c r="K1615" s="106"/>
      <c r="L1615" s="599"/>
    </row>
    <row r="1616" spans="1:12" s="90" customFormat="1" ht="12.75" customHeight="1">
      <c r="A1616" s="112" t="s">
        <v>45</v>
      </c>
      <c r="B1616" s="100" t="s">
        <v>118</v>
      </c>
      <c r="C1616" s="101"/>
      <c r="D1616" s="101"/>
      <c r="E1616" s="101"/>
      <c r="F1616" s="102"/>
      <c r="G1616" s="112" t="s">
        <v>45</v>
      </c>
      <c r="H1616" s="100" t="s">
        <v>130</v>
      </c>
      <c r="I1616" s="101"/>
      <c r="J1616" s="101"/>
      <c r="K1616" s="101"/>
      <c r="L1616" s="102"/>
    </row>
    <row r="1617" spans="1:12" s="90" customFormat="1" ht="12.75" customHeight="1">
      <c r="A1617" s="112" t="s">
        <v>111</v>
      </c>
      <c r="B1617" s="100" t="s">
        <v>106</v>
      </c>
      <c r="C1617" s="106"/>
      <c r="D1617" s="106"/>
      <c r="E1617" s="106"/>
      <c r="F1617" s="599"/>
      <c r="G1617" s="112" t="s">
        <v>111</v>
      </c>
      <c r="H1617" s="100" t="s">
        <v>131</v>
      </c>
      <c r="I1617" s="106"/>
      <c r="J1617" s="106"/>
      <c r="K1617" s="106"/>
      <c r="L1617" s="599"/>
    </row>
    <row r="1618" spans="1:12" s="90" customFormat="1" ht="12.75" customHeight="1">
      <c r="A1618" s="112" t="s">
        <v>112</v>
      </c>
      <c r="B1618" s="100" t="s">
        <v>39</v>
      </c>
      <c r="C1618" s="106"/>
      <c r="D1618" s="106"/>
      <c r="E1618" s="106"/>
      <c r="F1618" s="599"/>
      <c r="G1618" s="112" t="s">
        <v>112</v>
      </c>
      <c r="H1618" s="100" t="s">
        <v>87</v>
      </c>
      <c r="I1618" s="106"/>
      <c r="J1618" s="106"/>
      <c r="K1618" s="106"/>
      <c r="L1618" s="599"/>
    </row>
    <row r="1619" spans="1:12" s="90" customFormat="1" ht="12.75" customHeight="1">
      <c r="A1619" s="112" t="s">
        <v>113</v>
      </c>
      <c r="B1619" s="100" t="s">
        <v>201</v>
      </c>
      <c r="C1619" s="106"/>
      <c r="D1619" s="106"/>
      <c r="E1619" s="106"/>
      <c r="F1619" s="599"/>
      <c r="G1619" s="112" t="s">
        <v>113</v>
      </c>
      <c r="H1619" s="100" t="s">
        <v>90</v>
      </c>
      <c r="I1619" s="106"/>
      <c r="J1619" s="106"/>
      <c r="K1619" s="106"/>
      <c r="L1619" s="599"/>
    </row>
    <row r="1620" spans="1:12" s="90" customFormat="1" ht="12.75" customHeight="1">
      <c r="A1620" s="112" t="s">
        <v>56</v>
      </c>
      <c r="B1620" s="100" t="s">
        <v>126</v>
      </c>
      <c r="C1620" s="101">
        <v>395560</v>
      </c>
      <c r="D1620" s="101">
        <v>395560</v>
      </c>
      <c r="E1620" s="101">
        <v>395560</v>
      </c>
      <c r="F1620" s="102">
        <f>+E1620/D1620</f>
        <v>1</v>
      </c>
      <c r="G1620" s="112" t="s">
        <v>56</v>
      </c>
      <c r="H1620" s="100" t="s">
        <v>132</v>
      </c>
      <c r="I1620" s="101"/>
      <c r="J1620" s="101"/>
      <c r="K1620" s="101"/>
      <c r="L1620" s="102"/>
    </row>
    <row r="1621" spans="1:12" s="90" customFormat="1" ht="12.75" customHeight="1">
      <c r="A1621" s="99" t="s">
        <v>64</v>
      </c>
      <c r="B1621" s="116" t="s">
        <v>127</v>
      </c>
      <c r="C1621" s="101"/>
      <c r="D1621" s="101"/>
      <c r="E1621" s="101"/>
      <c r="F1621" s="102"/>
      <c r="G1621" s="99" t="s">
        <v>64</v>
      </c>
      <c r="H1621" s="116" t="s">
        <v>133</v>
      </c>
      <c r="I1621" s="101"/>
      <c r="J1621" s="101"/>
      <c r="K1621" s="101"/>
      <c r="L1621" s="102"/>
    </row>
    <row r="1622" spans="1:12" s="124" customFormat="1" ht="12.75" customHeight="1" thickBot="1">
      <c r="A1622" s="117"/>
      <c r="B1622" s="118" t="s">
        <v>148</v>
      </c>
      <c r="C1622" s="88">
        <f>+C1610+C1616+C1620+C1621</f>
        <v>395560</v>
      </c>
      <c r="D1622" s="88">
        <f>+D1610+D1616+D1620+D1621</f>
        <v>395560</v>
      </c>
      <c r="E1622" s="88">
        <f>+E1610+E1616+E1620+E1621</f>
        <v>395560</v>
      </c>
      <c r="F1622" s="119">
        <f>+E1622/D1622</f>
        <v>1</v>
      </c>
      <c r="G1622" s="117"/>
      <c r="H1622" s="118" t="s">
        <v>149</v>
      </c>
      <c r="I1622" s="88">
        <f>+I1613+I1610</f>
        <v>395560</v>
      </c>
      <c r="J1622" s="88">
        <f>+J1613+J1610</f>
        <v>395560</v>
      </c>
      <c r="K1622" s="88">
        <f>+K1613+K1610</f>
        <v>395559</v>
      </c>
      <c r="L1622" s="119">
        <f>+K1622/J1622</f>
        <v>0.9999974719385175</v>
      </c>
    </row>
    <row r="1623" spans="1:12" s="90" customFormat="1" ht="12.75" customHeight="1">
      <c r="A1623" s="124"/>
      <c r="B1623" s="124"/>
      <c r="C1623" s="93"/>
      <c r="D1623" s="93"/>
      <c r="E1623" s="93"/>
      <c r="F1623" s="93"/>
      <c r="G1623" s="124"/>
      <c r="H1623" s="124"/>
      <c r="I1623" s="93"/>
      <c r="J1623" s="93"/>
      <c r="K1623" s="93"/>
      <c r="L1623" s="93"/>
    </row>
    <row r="1624" spans="1:12" s="90" customFormat="1" ht="12.75" customHeight="1" thickBot="1">
      <c r="A1624" s="90" t="s">
        <v>838</v>
      </c>
      <c r="B1624" s="124"/>
      <c r="C1624" s="93"/>
      <c r="D1624" s="93"/>
      <c r="E1624" s="93"/>
      <c r="F1624" s="93"/>
      <c r="G1624" s="124"/>
      <c r="H1624" s="124"/>
      <c r="I1624" s="595"/>
      <c r="J1624" s="595"/>
      <c r="K1624" s="93"/>
      <c r="L1624" s="596" t="s">
        <v>216</v>
      </c>
    </row>
    <row r="1625" spans="1:12" s="90" customFormat="1" ht="24.75" customHeight="1">
      <c r="A1625" s="96"/>
      <c r="B1625" s="97" t="s">
        <v>104</v>
      </c>
      <c r="C1625" s="86" t="s">
        <v>227</v>
      </c>
      <c r="D1625" s="86" t="s">
        <v>844</v>
      </c>
      <c r="E1625" s="86" t="s">
        <v>303</v>
      </c>
      <c r="F1625" s="87" t="s">
        <v>304</v>
      </c>
      <c r="G1625" s="96">
        <v>137</v>
      </c>
      <c r="H1625" s="97" t="s">
        <v>105</v>
      </c>
      <c r="I1625" s="86" t="s">
        <v>227</v>
      </c>
      <c r="J1625" s="86" t="s">
        <v>844</v>
      </c>
      <c r="K1625" s="86" t="s">
        <v>303</v>
      </c>
      <c r="L1625" s="87" t="s">
        <v>304</v>
      </c>
    </row>
    <row r="1626" spans="1:12" s="90" customFormat="1" ht="12.75" customHeight="1">
      <c r="A1626" s="99" t="s">
        <v>23</v>
      </c>
      <c r="B1626" s="100" t="s">
        <v>108</v>
      </c>
      <c r="C1626" s="101"/>
      <c r="D1626" s="101"/>
      <c r="E1626" s="101"/>
      <c r="F1626" s="102"/>
      <c r="G1626" s="99" t="s">
        <v>23</v>
      </c>
      <c r="H1626" s="100" t="s">
        <v>129</v>
      </c>
      <c r="I1626" s="101">
        <f>SUM(I1627:I1631)</f>
        <v>270019</v>
      </c>
      <c r="J1626" s="101">
        <f>SUM(J1627:J1631)</f>
        <v>270019</v>
      </c>
      <c r="K1626" s="101">
        <f>SUM(K1627:K1631)</f>
        <v>170135</v>
      </c>
      <c r="L1626" s="102">
        <f>+K1626/J1626</f>
        <v>0.6300852902943866</v>
      </c>
    </row>
    <row r="1627" spans="1:12" s="90" customFormat="1" ht="12.75" customHeight="1">
      <c r="A1627" s="99" t="s">
        <v>111</v>
      </c>
      <c r="B1627" s="116" t="s">
        <v>209</v>
      </c>
      <c r="C1627" s="106"/>
      <c r="D1627" s="106"/>
      <c r="E1627" s="106"/>
      <c r="F1627" s="599"/>
      <c r="G1627" s="99" t="s">
        <v>111</v>
      </c>
      <c r="H1627" s="116" t="s">
        <v>80</v>
      </c>
      <c r="I1627" s="106">
        <v>144796</v>
      </c>
      <c r="J1627" s="106">
        <v>144796</v>
      </c>
      <c r="K1627" s="106">
        <v>144796</v>
      </c>
      <c r="L1627" s="599">
        <f>+K1627/J1627</f>
        <v>1</v>
      </c>
    </row>
    <row r="1628" spans="1:12" s="90" customFormat="1" ht="12.75" customHeight="1">
      <c r="A1628" s="99"/>
      <c r="B1628" s="116" t="s">
        <v>210</v>
      </c>
      <c r="C1628" s="106"/>
      <c r="D1628" s="106"/>
      <c r="E1628" s="106"/>
      <c r="F1628" s="599"/>
      <c r="G1628" s="99" t="s">
        <v>112</v>
      </c>
      <c r="H1628" s="116" t="s">
        <v>147</v>
      </c>
      <c r="I1628" s="106">
        <v>25339</v>
      </c>
      <c r="J1628" s="106">
        <v>25339</v>
      </c>
      <c r="K1628" s="106">
        <v>25339</v>
      </c>
      <c r="L1628" s="599">
        <f>+K1628/J1628</f>
        <v>1</v>
      </c>
    </row>
    <row r="1629" spans="1:12" s="90" customFormat="1" ht="12.75" customHeight="1">
      <c r="A1629" s="99" t="s">
        <v>112</v>
      </c>
      <c r="B1629" s="116" t="s">
        <v>9</v>
      </c>
      <c r="C1629" s="106"/>
      <c r="D1629" s="106"/>
      <c r="E1629" s="106"/>
      <c r="F1629" s="599"/>
      <c r="G1629" s="99" t="s">
        <v>113</v>
      </c>
      <c r="H1629" s="116" t="s">
        <v>83</v>
      </c>
      <c r="I1629" s="106"/>
      <c r="J1629" s="106"/>
      <c r="K1629" s="106"/>
      <c r="L1629" s="599"/>
    </row>
    <row r="1630" spans="1:12" s="90" customFormat="1" ht="12.75" customHeight="1">
      <c r="A1630" s="99" t="s">
        <v>113</v>
      </c>
      <c r="B1630" s="116" t="s">
        <v>170</v>
      </c>
      <c r="C1630" s="106"/>
      <c r="D1630" s="106"/>
      <c r="E1630" s="106"/>
      <c r="F1630" s="599"/>
      <c r="G1630" s="99" t="s">
        <v>114</v>
      </c>
      <c r="H1630" s="116" t="s">
        <v>84</v>
      </c>
      <c r="I1630" s="106"/>
      <c r="J1630" s="106"/>
      <c r="K1630" s="106"/>
      <c r="L1630" s="599"/>
    </row>
    <row r="1631" spans="1:12" s="90" customFormat="1" ht="12.75" customHeight="1">
      <c r="A1631" s="99" t="s">
        <v>114</v>
      </c>
      <c r="B1631" s="116" t="s">
        <v>181</v>
      </c>
      <c r="C1631" s="106"/>
      <c r="D1631" s="106"/>
      <c r="E1631" s="106"/>
      <c r="F1631" s="599"/>
      <c r="G1631" s="99" t="s">
        <v>115</v>
      </c>
      <c r="H1631" s="116" t="s">
        <v>211</v>
      </c>
      <c r="I1631" s="106">
        <v>99884</v>
      </c>
      <c r="J1631" s="106">
        <v>99884</v>
      </c>
      <c r="K1631" s="106">
        <v>0</v>
      </c>
      <c r="L1631" s="599">
        <f>+K1631/J1631</f>
        <v>0</v>
      </c>
    </row>
    <row r="1632" spans="1:12" s="90" customFormat="1" ht="12.75" customHeight="1">
      <c r="A1632" s="112" t="s">
        <v>45</v>
      </c>
      <c r="B1632" s="100" t="s">
        <v>118</v>
      </c>
      <c r="C1632" s="101"/>
      <c r="D1632" s="101"/>
      <c r="E1632" s="101"/>
      <c r="F1632" s="102"/>
      <c r="G1632" s="112" t="s">
        <v>45</v>
      </c>
      <c r="H1632" s="100" t="s">
        <v>130</v>
      </c>
      <c r="I1632" s="101"/>
      <c r="J1632" s="101"/>
      <c r="K1632" s="101"/>
      <c r="L1632" s="599"/>
    </row>
    <row r="1633" spans="1:12" s="90" customFormat="1" ht="12.75" customHeight="1">
      <c r="A1633" s="112" t="s">
        <v>111</v>
      </c>
      <c r="B1633" s="100" t="s">
        <v>106</v>
      </c>
      <c r="C1633" s="106"/>
      <c r="D1633" s="106"/>
      <c r="E1633" s="106"/>
      <c r="F1633" s="599"/>
      <c r="G1633" s="112" t="s">
        <v>111</v>
      </c>
      <c r="H1633" s="100" t="s">
        <v>131</v>
      </c>
      <c r="I1633" s="106"/>
      <c r="J1633" s="106"/>
      <c r="K1633" s="106"/>
      <c r="L1633" s="599"/>
    </row>
    <row r="1634" spans="1:12" s="90" customFormat="1" ht="12.75" customHeight="1">
      <c r="A1634" s="112" t="s">
        <v>112</v>
      </c>
      <c r="B1634" s="100" t="s">
        <v>39</v>
      </c>
      <c r="C1634" s="106"/>
      <c r="D1634" s="106"/>
      <c r="E1634" s="106"/>
      <c r="F1634" s="599"/>
      <c r="G1634" s="112" t="s">
        <v>112</v>
      </c>
      <c r="H1634" s="100" t="s">
        <v>87</v>
      </c>
      <c r="I1634" s="106"/>
      <c r="J1634" s="106"/>
      <c r="K1634" s="106"/>
      <c r="L1634" s="599"/>
    </row>
    <row r="1635" spans="1:12" s="90" customFormat="1" ht="12.75" customHeight="1">
      <c r="A1635" s="112" t="s">
        <v>113</v>
      </c>
      <c r="B1635" s="100" t="s">
        <v>201</v>
      </c>
      <c r="C1635" s="106"/>
      <c r="D1635" s="106"/>
      <c r="E1635" s="106"/>
      <c r="F1635" s="599"/>
      <c r="G1635" s="112" t="s">
        <v>113</v>
      </c>
      <c r="H1635" s="100" t="s">
        <v>90</v>
      </c>
      <c r="I1635" s="106"/>
      <c r="J1635" s="106"/>
      <c r="K1635" s="106"/>
      <c r="L1635" s="599"/>
    </row>
    <row r="1636" spans="1:12" s="90" customFormat="1" ht="12.75" customHeight="1">
      <c r="A1636" s="112" t="s">
        <v>56</v>
      </c>
      <c r="B1636" s="100" t="s">
        <v>126</v>
      </c>
      <c r="C1636" s="101">
        <v>270019</v>
      </c>
      <c r="D1636" s="101">
        <v>270019</v>
      </c>
      <c r="E1636" s="101">
        <v>270019</v>
      </c>
      <c r="F1636" s="102">
        <f>+E1636/D1636</f>
        <v>1</v>
      </c>
      <c r="G1636" s="112" t="s">
        <v>56</v>
      </c>
      <c r="H1636" s="100" t="s">
        <v>132</v>
      </c>
      <c r="I1636" s="101"/>
      <c r="J1636" s="101"/>
      <c r="K1636" s="101"/>
      <c r="L1636" s="102"/>
    </row>
    <row r="1637" spans="1:12" s="90" customFormat="1" ht="12.75" customHeight="1">
      <c r="A1637" s="99" t="s">
        <v>64</v>
      </c>
      <c r="B1637" s="116" t="s">
        <v>127</v>
      </c>
      <c r="C1637" s="101"/>
      <c r="D1637" s="101"/>
      <c r="E1637" s="101"/>
      <c r="F1637" s="102"/>
      <c r="G1637" s="99" t="s">
        <v>64</v>
      </c>
      <c r="H1637" s="116" t="s">
        <v>133</v>
      </c>
      <c r="I1637" s="101"/>
      <c r="J1637" s="101"/>
      <c r="K1637" s="101"/>
      <c r="L1637" s="102"/>
    </row>
    <row r="1638" spans="1:12" s="124" customFormat="1" ht="12.75" customHeight="1" thickBot="1">
      <c r="A1638" s="117"/>
      <c r="B1638" s="118" t="s">
        <v>148</v>
      </c>
      <c r="C1638" s="88">
        <f>+C1626+C1632+C1636+C1637</f>
        <v>270019</v>
      </c>
      <c r="D1638" s="88">
        <f>+D1626+D1632+D1636+D1637</f>
        <v>270019</v>
      </c>
      <c r="E1638" s="88">
        <f>+E1626+E1632+E1636+E1637</f>
        <v>270019</v>
      </c>
      <c r="F1638" s="119">
        <f>+E1638/D1638</f>
        <v>1</v>
      </c>
      <c r="G1638" s="117"/>
      <c r="H1638" s="118" t="s">
        <v>149</v>
      </c>
      <c r="I1638" s="88">
        <f>+I1637+I1636+I1632+I1626</f>
        <v>270019</v>
      </c>
      <c r="J1638" s="88">
        <f>+J1637+J1636+J1632+J1626</f>
        <v>270019</v>
      </c>
      <c r="K1638" s="88">
        <f>+K1637+K1636+K1632+K1626</f>
        <v>170135</v>
      </c>
      <c r="L1638" s="119">
        <f>+K1638/J1638</f>
        <v>0.6300852902943866</v>
      </c>
    </row>
    <row r="1639" spans="1:12" s="90" customFormat="1" ht="12.75" customHeight="1">
      <c r="A1639" s="124"/>
      <c r="B1639" s="124"/>
      <c r="C1639" s="93"/>
      <c r="D1639" s="93"/>
      <c r="E1639" s="93"/>
      <c r="F1639" s="93"/>
      <c r="G1639" s="124"/>
      <c r="H1639" s="124"/>
      <c r="I1639" s="93"/>
      <c r="J1639" s="93"/>
      <c r="K1639" s="93"/>
      <c r="L1639" s="93"/>
    </row>
    <row r="1640" spans="1:12" s="90" customFormat="1" ht="12.75" customHeight="1" thickBot="1">
      <c r="A1640" s="90" t="s">
        <v>839</v>
      </c>
      <c r="B1640" s="124"/>
      <c r="C1640" s="93"/>
      <c r="D1640" s="93"/>
      <c r="E1640" s="93"/>
      <c r="F1640" s="93"/>
      <c r="G1640" s="124"/>
      <c r="H1640" s="124"/>
      <c r="I1640" s="595"/>
      <c r="J1640" s="595"/>
      <c r="K1640" s="93"/>
      <c r="L1640" s="93" t="s">
        <v>216</v>
      </c>
    </row>
    <row r="1641" spans="1:12" s="90" customFormat="1" ht="24.75" customHeight="1">
      <c r="A1641" s="96"/>
      <c r="B1641" s="97" t="s">
        <v>104</v>
      </c>
      <c r="C1641" s="86" t="s">
        <v>227</v>
      </c>
      <c r="D1641" s="86" t="s">
        <v>844</v>
      </c>
      <c r="E1641" s="86" t="s">
        <v>303</v>
      </c>
      <c r="F1641" s="87" t="s">
        <v>304</v>
      </c>
      <c r="G1641" s="96">
        <v>138</v>
      </c>
      <c r="H1641" s="97" t="s">
        <v>105</v>
      </c>
      <c r="I1641" s="86" t="s">
        <v>227</v>
      </c>
      <c r="J1641" s="86" t="s">
        <v>844</v>
      </c>
      <c r="K1641" s="86" t="s">
        <v>303</v>
      </c>
      <c r="L1641" s="87" t="s">
        <v>304</v>
      </c>
    </row>
    <row r="1642" spans="1:12" s="90" customFormat="1" ht="12.75" customHeight="1">
      <c r="A1642" s="99" t="s">
        <v>23</v>
      </c>
      <c r="B1642" s="100" t="s">
        <v>108</v>
      </c>
      <c r="C1642" s="101">
        <f>+C1643+C1645+C1646+C1647</f>
        <v>391196</v>
      </c>
      <c r="D1642" s="101">
        <f>+D1643+D1645+D1646+D1647</f>
        <v>391196</v>
      </c>
      <c r="E1642" s="101">
        <f>+E1643+E1645+E1646+E1647</f>
        <v>0</v>
      </c>
      <c r="F1642" s="102">
        <f>+E1642/D1642</f>
        <v>0</v>
      </c>
      <c r="G1642" s="99" t="s">
        <v>23</v>
      </c>
      <c r="H1642" s="100" t="s">
        <v>129</v>
      </c>
      <c r="I1642" s="101">
        <f>SUM(I1643:I1647)</f>
        <v>1047710</v>
      </c>
      <c r="J1642" s="101">
        <f>SUM(J1643:J1647)</f>
        <v>1047710</v>
      </c>
      <c r="K1642" s="101">
        <f>SUM(K1643:K1647)</f>
        <v>0</v>
      </c>
      <c r="L1642" s="102">
        <f>+K1642/J1642+IF(L1642=0/0,0%)</f>
        <v>0</v>
      </c>
    </row>
    <row r="1643" spans="1:12" s="90" customFormat="1" ht="12.75" customHeight="1">
      <c r="A1643" s="99" t="s">
        <v>111</v>
      </c>
      <c r="B1643" s="116" t="s">
        <v>209</v>
      </c>
      <c r="C1643" s="106">
        <f>C1644</f>
        <v>391196</v>
      </c>
      <c r="D1643" s="106">
        <f>D1644</f>
        <v>391196</v>
      </c>
      <c r="E1643" s="106">
        <v>0</v>
      </c>
      <c r="F1643" s="599">
        <f>+E1643/D1643</f>
        <v>0</v>
      </c>
      <c r="G1643" s="99" t="s">
        <v>111</v>
      </c>
      <c r="H1643" s="116" t="s">
        <v>80</v>
      </c>
      <c r="I1643" s="106">
        <v>683145</v>
      </c>
      <c r="J1643" s="106">
        <v>683145</v>
      </c>
      <c r="K1643" s="106">
        <v>0</v>
      </c>
      <c r="L1643" s="599">
        <f>+K1643/J1643+IF(L1643=0/0,0%)</f>
        <v>0</v>
      </c>
    </row>
    <row r="1644" spans="1:12" s="90" customFormat="1" ht="12.75" customHeight="1">
      <c r="A1644" s="99"/>
      <c r="B1644" s="116" t="s">
        <v>210</v>
      </c>
      <c r="C1644" s="106">
        <v>391196</v>
      </c>
      <c r="D1644" s="106">
        <v>391196</v>
      </c>
      <c r="E1644" s="106">
        <v>0</v>
      </c>
      <c r="F1644" s="599">
        <f>+E1644/D1644+IF(F1644=0/0,0%)</f>
        <v>0</v>
      </c>
      <c r="G1644" s="99" t="s">
        <v>112</v>
      </c>
      <c r="H1644" s="116" t="s">
        <v>147</v>
      </c>
      <c r="I1644" s="106">
        <v>209855</v>
      </c>
      <c r="J1644" s="106">
        <v>209855</v>
      </c>
      <c r="K1644" s="106">
        <v>0</v>
      </c>
      <c r="L1644" s="599">
        <f>+K1644/J1644+IF(L1644=0/0,0%)</f>
        <v>0</v>
      </c>
    </row>
    <row r="1645" spans="1:12" s="90" customFormat="1" ht="12.75" customHeight="1">
      <c r="A1645" s="99" t="s">
        <v>112</v>
      </c>
      <c r="B1645" s="116" t="s">
        <v>9</v>
      </c>
      <c r="C1645" s="106"/>
      <c r="D1645" s="106"/>
      <c r="E1645" s="106"/>
      <c r="F1645" s="599"/>
      <c r="G1645" s="99" t="s">
        <v>113</v>
      </c>
      <c r="H1645" s="116" t="s">
        <v>83</v>
      </c>
      <c r="I1645" s="106">
        <v>154710</v>
      </c>
      <c r="J1645" s="106">
        <v>154710</v>
      </c>
      <c r="K1645" s="106">
        <v>0</v>
      </c>
      <c r="L1645" s="599">
        <f>+K1645/J1645+IF(L1645=0/0,0%)</f>
        <v>0</v>
      </c>
    </row>
    <row r="1646" spans="1:12" s="90" customFormat="1" ht="12.75" customHeight="1">
      <c r="A1646" s="99" t="s">
        <v>113</v>
      </c>
      <c r="B1646" s="116" t="s">
        <v>170</v>
      </c>
      <c r="C1646" s="106"/>
      <c r="D1646" s="106"/>
      <c r="E1646" s="106"/>
      <c r="F1646" s="599"/>
      <c r="G1646" s="99" t="s">
        <v>114</v>
      </c>
      <c r="H1646" s="116" t="s">
        <v>84</v>
      </c>
      <c r="I1646" s="106"/>
      <c r="J1646" s="106"/>
      <c r="K1646" s="106"/>
      <c r="L1646" s="599"/>
    </row>
    <row r="1647" spans="1:12" s="90" customFormat="1" ht="12.75" customHeight="1">
      <c r="A1647" s="99" t="s">
        <v>114</v>
      </c>
      <c r="B1647" s="116" t="s">
        <v>181</v>
      </c>
      <c r="C1647" s="106"/>
      <c r="D1647" s="106"/>
      <c r="E1647" s="106"/>
      <c r="F1647" s="599"/>
      <c r="G1647" s="99" t="s">
        <v>115</v>
      </c>
      <c r="H1647" s="116" t="s">
        <v>211</v>
      </c>
      <c r="I1647" s="106"/>
      <c r="J1647" s="106"/>
      <c r="K1647" s="106"/>
      <c r="L1647" s="599"/>
    </row>
    <row r="1648" spans="1:12" s="90" customFormat="1" ht="12.75" customHeight="1">
      <c r="A1648" s="112" t="s">
        <v>45</v>
      </c>
      <c r="B1648" s="100" t="s">
        <v>118</v>
      </c>
      <c r="C1648" s="101"/>
      <c r="D1648" s="101"/>
      <c r="E1648" s="101"/>
      <c r="F1648" s="102"/>
      <c r="G1648" s="112" t="s">
        <v>45</v>
      </c>
      <c r="H1648" s="100" t="s">
        <v>130</v>
      </c>
      <c r="I1648" s="101"/>
      <c r="J1648" s="101"/>
      <c r="K1648" s="101"/>
      <c r="L1648" s="102"/>
    </row>
    <row r="1649" spans="1:12" s="90" customFormat="1" ht="12.75" customHeight="1">
      <c r="A1649" s="112" t="s">
        <v>111</v>
      </c>
      <c r="B1649" s="100" t="s">
        <v>106</v>
      </c>
      <c r="C1649" s="106"/>
      <c r="D1649" s="106"/>
      <c r="E1649" s="106"/>
      <c r="F1649" s="599"/>
      <c r="G1649" s="112" t="s">
        <v>111</v>
      </c>
      <c r="H1649" s="100" t="s">
        <v>131</v>
      </c>
      <c r="I1649" s="106"/>
      <c r="J1649" s="106"/>
      <c r="K1649" s="106"/>
      <c r="L1649" s="599"/>
    </row>
    <row r="1650" spans="1:12" s="90" customFormat="1" ht="12.75" customHeight="1">
      <c r="A1650" s="112" t="s">
        <v>112</v>
      </c>
      <c r="B1650" s="100" t="s">
        <v>39</v>
      </c>
      <c r="C1650" s="106"/>
      <c r="D1650" s="106"/>
      <c r="E1650" s="106"/>
      <c r="F1650" s="599"/>
      <c r="G1650" s="112" t="s">
        <v>112</v>
      </c>
      <c r="H1650" s="100" t="s">
        <v>87</v>
      </c>
      <c r="I1650" s="106"/>
      <c r="J1650" s="106"/>
      <c r="K1650" s="106"/>
      <c r="L1650" s="599"/>
    </row>
    <row r="1651" spans="1:12" s="90" customFormat="1" ht="12.75" customHeight="1">
      <c r="A1651" s="112" t="s">
        <v>113</v>
      </c>
      <c r="B1651" s="100" t="s">
        <v>201</v>
      </c>
      <c r="C1651" s="106"/>
      <c r="D1651" s="106"/>
      <c r="E1651" s="106"/>
      <c r="F1651" s="599"/>
      <c r="G1651" s="112" t="s">
        <v>113</v>
      </c>
      <c r="H1651" s="100" t="s">
        <v>90</v>
      </c>
      <c r="I1651" s="106"/>
      <c r="J1651" s="106"/>
      <c r="K1651" s="106"/>
      <c r="L1651" s="599"/>
    </row>
    <row r="1652" spans="1:12" s="90" customFormat="1" ht="12.75" customHeight="1">
      <c r="A1652" s="112" t="s">
        <v>56</v>
      </c>
      <c r="B1652" s="100" t="s">
        <v>126</v>
      </c>
      <c r="C1652" s="101">
        <v>656514</v>
      </c>
      <c r="D1652" s="101">
        <v>656514</v>
      </c>
      <c r="E1652" s="101">
        <v>656541</v>
      </c>
      <c r="F1652" s="102">
        <f>+E1652/D1652</f>
        <v>1.0000411263126148</v>
      </c>
      <c r="G1652" s="112" t="s">
        <v>56</v>
      </c>
      <c r="H1652" s="100" t="s">
        <v>132</v>
      </c>
      <c r="I1652" s="101"/>
      <c r="J1652" s="101"/>
      <c r="K1652" s="101"/>
      <c r="L1652" s="102"/>
    </row>
    <row r="1653" spans="1:12" s="90" customFormat="1" ht="12.75" customHeight="1">
      <c r="A1653" s="99" t="s">
        <v>64</v>
      </c>
      <c r="B1653" s="116" t="s">
        <v>127</v>
      </c>
      <c r="C1653" s="101"/>
      <c r="D1653" s="101"/>
      <c r="E1653" s="101"/>
      <c r="F1653" s="102"/>
      <c r="G1653" s="99" t="s">
        <v>64</v>
      </c>
      <c r="H1653" s="116" t="s">
        <v>133</v>
      </c>
      <c r="I1653" s="101"/>
      <c r="J1653" s="101"/>
      <c r="K1653" s="101"/>
      <c r="L1653" s="102"/>
    </row>
    <row r="1654" spans="1:12" s="124" customFormat="1" ht="12.75" customHeight="1" thickBot="1">
      <c r="A1654" s="117"/>
      <c r="B1654" s="118" t="s">
        <v>148</v>
      </c>
      <c r="C1654" s="88">
        <f>+C1642+C1648+C1652+C1653</f>
        <v>1047710</v>
      </c>
      <c r="D1654" s="88">
        <f>+D1642+D1648+D1652+D1653</f>
        <v>1047710</v>
      </c>
      <c r="E1654" s="88">
        <f>+E1642+E1648+E1652+E1653</f>
        <v>656541</v>
      </c>
      <c r="F1654" s="119">
        <f>+E1654/D1654</f>
        <v>0.6266438231953498</v>
      </c>
      <c r="G1654" s="117"/>
      <c r="H1654" s="118" t="s">
        <v>149</v>
      </c>
      <c r="I1654" s="88">
        <f>+I1653+I1652+I1648+I1642</f>
        <v>1047710</v>
      </c>
      <c r="J1654" s="88">
        <f>+J1653+J1652+J1648+J1642</f>
        <v>1047710</v>
      </c>
      <c r="K1654" s="88">
        <f>+K1653+K1652+K1648+K1642</f>
        <v>0</v>
      </c>
      <c r="L1654" s="119">
        <f>+K1654/J1654+IF(L1654=0/0,0%)</f>
        <v>0</v>
      </c>
    </row>
    <row r="1655" spans="1:12" s="90" customFormat="1" ht="12.75" customHeight="1">
      <c r="A1655" s="124"/>
      <c r="B1655" s="124"/>
      <c r="C1655" s="93"/>
      <c r="D1655" s="93"/>
      <c r="E1655" s="93"/>
      <c r="F1655" s="93"/>
      <c r="G1655" s="124"/>
      <c r="H1655" s="124"/>
      <c r="I1655" s="93"/>
      <c r="J1655" s="93"/>
      <c r="K1655" s="93"/>
      <c r="L1655" s="93"/>
    </row>
    <row r="1656" spans="1:12" s="90" customFormat="1" ht="12.75" customHeight="1" thickBot="1">
      <c r="A1656" s="90" t="s">
        <v>840</v>
      </c>
      <c r="B1656" s="124"/>
      <c r="C1656" s="93"/>
      <c r="D1656" s="93"/>
      <c r="E1656" s="93"/>
      <c r="F1656" s="93"/>
      <c r="G1656" s="124"/>
      <c r="H1656" s="124"/>
      <c r="I1656" s="595"/>
      <c r="J1656" s="595"/>
      <c r="K1656" s="93"/>
      <c r="L1656" s="93" t="s">
        <v>216</v>
      </c>
    </row>
    <row r="1657" spans="1:12" ht="24.75" customHeight="1">
      <c r="A1657" s="96"/>
      <c r="B1657" s="97" t="s">
        <v>104</v>
      </c>
      <c r="C1657" s="86" t="s">
        <v>227</v>
      </c>
      <c r="D1657" s="86" t="s">
        <v>844</v>
      </c>
      <c r="E1657" s="86" t="s">
        <v>303</v>
      </c>
      <c r="F1657" s="87" t="s">
        <v>304</v>
      </c>
      <c r="G1657" s="96">
        <v>140</v>
      </c>
      <c r="H1657" s="97" t="s">
        <v>105</v>
      </c>
      <c r="I1657" s="86" t="s">
        <v>227</v>
      </c>
      <c r="J1657" s="86" t="s">
        <v>844</v>
      </c>
      <c r="K1657" s="86" t="s">
        <v>303</v>
      </c>
      <c r="L1657" s="87" t="s">
        <v>304</v>
      </c>
    </row>
    <row r="1658" spans="1:12" ht="12.75" customHeight="1">
      <c r="A1658" s="99" t="s">
        <v>23</v>
      </c>
      <c r="B1658" s="100" t="s">
        <v>108</v>
      </c>
      <c r="C1658" s="101"/>
      <c r="D1658" s="101"/>
      <c r="E1658" s="101"/>
      <c r="F1658" s="102"/>
      <c r="G1658" s="99" t="s">
        <v>23</v>
      </c>
      <c r="H1658" s="100" t="s">
        <v>129</v>
      </c>
      <c r="I1658" s="101">
        <f>SUM(I1659:I1663)</f>
        <v>271917</v>
      </c>
      <c r="J1658" s="101">
        <f>SUM(J1659:J1663)</f>
        <v>271917</v>
      </c>
      <c r="K1658" s="101">
        <f>SUM(K1659:K1663)</f>
        <v>271917</v>
      </c>
      <c r="L1658" s="102">
        <f>+K1658/J1658</f>
        <v>1</v>
      </c>
    </row>
    <row r="1659" spans="1:12" ht="12.75" customHeight="1">
      <c r="A1659" s="99" t="s">
        <v>111</v>
      </c>
      <c r="B1659" s="116" t="s">
        <v>209</v>
      </c>
      <c r="C1659" s="106"/>
      <c r="D1659" s="106"/>
      <c r="E1659" s="106"/>
      <c r="F1659" s="599"/>
      <c r="G1659" s="99" t="s">
        <v>111</v>
      </c>
      <c r="H1659" s="116" t="s">
        <v>80</v>
      </c>
      <c r="I1659" s="106">
        <v>231419</v>
      </c>
      <c r="J1659" s="106">
        <v>231419</v>
      </c>
      <c r="K1659" s="106">
        <v>231419</v>
      </c>
      <c r="L1659" s="599">
        <f>+K1659/J1659</f>
        <v>1</v>
      </c>
    </row>
    <row r="1660" spans="1:12" ht="12.75" customHeight="1">
      <c r="A1660" s="99"/>
      <c r="B1660" s="116" t="s">
        <v>210</v>
      </c>
      <c r="C1660" s="106"/>
      <c r="D1660" s="106"/>
      <c r="E1660" s="106"/>
      <c r="F1660" s="599"/>
      <c r="G1660" s="99" t="s">
        <v>112</v>
      </c>
      <c r="H1660" s="116" t="s">
        <v>147</v>
      </c>
      <c r="I1660" s="106">
        <v>40498</v>
      </c>
      <c r="J1660" s="106">
        <v>40498</v>
      </c>
      <c r="K1660" s="106">
        <v>40498</v>
      </c>
      <c r="L1660" s="599">
        <f>+K1660/J1660</f>
        <v>1</v>
      </c>
    </row>
    <row r="1661" spans="1:12" ht="12.75" customHeight="1">
      <c r="A1661" s="99" t="s">
        <v>112</v>
      </c>
      <c r="B1661" s="116" t="s">
        <v>9</v>
      </c>
      <c r="C1661" s="106"/>
      <c r="D1661" s="106"/>
      <c r="E1661" s="106"/>
      <c r="F1661" s="599"/>
      <c r="G1661" s="99" t="s">
        <v>113</v>
      </c>
      <c r="H1661" s="116" t="s">
        <v>83</v>
      </c>
      <c r="I1661" s="106"/>
      <c r="J1661" s="106"/>
      <c r="K1661" s="106"/>
      <c r="L1661" s="599"/>
    </row>
    <row r="1662" spans="1:12" ht="12.75" customHeight="1">
      <c r="A1662" s="99" t="s">
        <v>113</v>
      </c>
      <c r="B1662" s="116" t="s">
        <v>170</v>
      </c>
      <c r="C1662" s="106"/>
      <c r="D1662" s="106"/>
      <c r="E1662" s="106"/>
      <c r="F1662" s="599"/>
      <c r="G1662" s="99" t="s">
        <v>114</v>
      </c>
      <c r="H1662" s="116" t="s">
        <v>84</v>
      </c>
      <c r="I1662" s="106"/>
      <c r="J1662" s="106"/>
      <c r="K1662" s="106"/>
      <c r="L1662" s="599"/>
    </row>
    <row r="1663" spans="1:12" ht="12.75" customHeight="1">
      <c r="A1663" s="99" t="s">
        <v>114</v>
      </c>
      <c r="B1663" s="116" t="s">
        <v>181</v>
      </c>
      <c r="C1663" s="106"/>
      <c r="D1663" s="106"/>
      <c r="E1663" s="106"/>
      <c r="F1663" s="599"/>
      <c r="G1663" s="99" t="s">
        <v>115</v>
      </c>
      <c r="H1663" s="116" t="s">
        <v>211</v>
      </c>
      <c r="I1663" s="106"/>
      <c r="J1663" s="106"/>
      <c r="K1663" s="106"/>
      <c r="L1663" s="599"/>
    </row>
    <row r="1664" spans="1:12" ht="12.75" customHeight="1">
      <c r="A1664" s="112" t="s">
        <v>45</v>
      </c>
      <c r="B1664" s="100" t="s">
        <v>118</v>
      </c>
      <c r="C1664" s="101"/>
      <c r="D1664" s="101"/>
      <c r="E1664" s="101"/>
      <c r="F1664" s="102"/>
      <c r="G1664" s="112" t="s">
        <v>45</v>
      </c>
      <c r="H1664" s="100" t="s">
        <v>130</v>
      </c>
      <c r="I1664" s="101"/>
      <c r="J1664" s="101"/>
      <c r="K1664" s="101"/>
      <c r="L1664" s="102"/>
    </row>
    <row r="1665" spans="1:12" ht="12.75" customHeight="1">
      <c r="A1665" s="112" t="s">
        <v>111</v>
      </c>
      <c r="B1665" s="100" t="s">
        <v>106</v>
      </c>
      <c r="C1665" s="106"/>
      <c r="D1665" s="106"/>
      <c r="E1665" s="106"/>
      <c r="F1665" s="599"/>
      <c r="G1665" s="112" t="s">
        <v>111</v>
      </c>
      <c r="H1665" s="100" t="s">
        <v>131</v>
      </c>
      <c r="I1665" s="106"/>
      <c r="J1665" s="106"/>
      <c r="K1665" s="106"/>
      <c r="L1665" s="599"/>
    </row>
    <row r="1666" spans="1:12" ht="12.75" customHeight="1">
      <c r="A1666" s="112" t="s">
        <v>112</v>
      </c>
      <c r="B1666" s="100" t="s">
        <v>39</v>
      </c>
      <c r="C1666" s="106"/>
      <c r="D1666" s="106"/>
      <c r="E1666" s="106"/>
      <c r="F1666" s="599"/>
      <c r="G1666" s="112" t="s">
        <v>112</v>
      </c>
      <c r="H1666" s="100" t="s">
        <v>87</v>
      </c>
      <c r="I1666" s="106"/>
      <c r="J1666" s="106"/>
      <c r="K1666" s="106"/>
      <c r="L1666" s="599"/>
    </row>
    <row r="1667" spans="1:12" ht="12.75" customHeight="1">
      <c r="A1667" s="112" t="s">
        <v>113</v>
      </c>
      <c r="B1667" s="100" t="s">
        <v>201</v>
      </c>
      <c r="C1667" s="106"/>
      <c r="D1667" s="106"/>
      <c r="E1667" s="106"/>
      <c r="F1667" s="599"/>
      <c r="G1667" s="112" t="s">
        <v>113</v>
      </c>
      <c r="H1667" s="100" t="s">
        <v>90</v>
      </c>
      <c r="I1667" s="106"/>
      <c r="J1667" s="106"/>
      <c r="K1667" s="106"/>
      <c r="L1667" s="599"/>
    </row>
    <row r="1668" spans="1:12" ht="12.75" customHeight="1">
      <c r="A1668" s="112" t="s">
        <v>56</v>
      </c>
      <c r="B1668" s="100" t="s">
        <v>126</v>
      </c>
      <c r="C1668" s="101">
        <v>271917</v>
      </c>
      <c r="D1668" s="101">
        <v>271917</v>
      </c>
      <c r="E1668" s="101">
        <v>271917</v>
      </c>
      <c r="F1668" s="102">
        <f>+E1668/D1668</f>
        <v>1</v>
      </c>
      <c r="G1668" s="112" t="s">
        <v>56</v>
      </c>
      <c r="H1668" s="100" t="s">
        <v>132</v>
      </c>
      <c r="I1668" s="101"/>
      <c r="J1668" s="101"/>
      <c r="K1668" s="101"/>
      <c r="L1668" s="102"/>
    </row>
    <row r="1669" spans="1:12" ht="12.75" customHeight="1">
      <c r="A1669" s="99" t="s">
        <v>64</v>
      </c>
      <c r="B1669" s="116" t="s">
        <v>127</v>
      </c>
      <c r="C1669" s="101"/>
      <c r="D1669" s="101"/>
      <c r="E1669" s="101"/>
      <c r="F1669" s="102"/>
      <c r="G1669" s="99" t="s">
        <v>64</v>
      </c>
      <c r="H1669" s="116" t="s">
        <v>133</v>
      </c>
      <c r="I1669" s="101"/>
      <c r="J1669" s="101"/>
      <c r="K1669" s="101"/>
      <c r="L1669" s="102"/>
    </row>
    <row r="1670" spans="1:12" ht="12.75" customHeight="1" thickBot="1">
      <c r="A1670" s="117"/>
      <c r="B1670" s="118" t="s">
        <v>148</v>
      </c>
      <c r="C1670" s="88">
        <f>+C1658+C1664+C1668+C1669</f>
        <v>271917</v>
      </c>
      <c r="D1670" s="88">
        <f>+D1658+D1664+D1668+D1669</f>
        <v>271917</v>
      </c>
      <c r="E1670" s="88">
        <f>+E1658+E1664+E1668+E1669</f>
        <v>271917</v>
      </c>
      <c r="F1670" s="119">
        <f>+E1670/D1670</f>
        <v>1</v>
      </c>
      <c r="G1670" s="117"/>
      <c r="H1670" s="118" t="s">
        <v>149</v>
      </c>
      <c r="I1670" s="88">
        <f>+I1669+I1668+I1664+I1658</f>
        <v>271917</v>
      </c>
      <c r="J1670" s="88">
        <f>+J1669+J1668+J1664+J1658</f>
        <v>271917</v>
      </c>
      <c r="K1670" s="88">
        <f>+K1669+K1668+K1664+K1658</f>
        <v>271917</v>
      </c>
      <c r="L1670" s="119">
        <f>+K1670/J1670</f>
        <v>1</v>
      </c>
    </row>
    <row r="1671" spans="1:12" ht="15">
      <c r="A1671" s="124"/>
      <c r="B1671" s="124"/>
      <c r="C1671" s="93"/>
      <c r="D1671" s="93"/>
      <c r="E1671" s="141"/>
      <c r="F1671" s="643"/>
      <c r="G1671" s="124"/>
      <c r="H1671" s="124"/>
      <c r="I1671" s="93"/>
      <c r="J1671" s="93"/>
      <c r="K1671" s="141"/>
      <c r="L1671" s="643"/>
    </row>
    <row r="1672" spans="1:12" s="90" customFormat="1" ht="12.75" customHeight="1" thickBot="1">
      <c r="A1672" s="90" t="s">
        <v>841</v>
      </c>
      <c r="B1672" s="124"/>
      <c r="C1672" s="93"/>
      <c r="D1672" s="93"/>
      <c r="E1672" s="93"/>
      <c r="F1672" s="93"/>
      <c r="G1672" s="124"/>
      <c r="H1672" s="124"/>
      <c r="I1672" s="595"/>
      <c r="J1672" s="595"/>
      <c r="K1672" s="93"/>
      <c r="L1672" s="93" t="s">
        <v>216</v>
      </c>
    </row>
    <row r="1673" spans="1:12" s="90" customFormat="1" ht="24.75" customHeight="1">
      <c r="A1673" s="96"/>
      <c r="B1673" s="97" t="s">
        <v>104</v>
      </c>
      <c r="C1673" s="86" t="s">
        <v>227</v>
      </c>
      <c r="D1673" s="86" t="s">
        <v>844</v>
      </c>
      <c r="E1673" s="86" t="s">
        <v>303</v>
      </c>
      <c r="F1673" s="87" t="s">
        <v>304</v>
      </c>
      <c r="G1673" s="96">
        <v>139</v>
      </c>
      <c r="H1673" s="97" t="s">
        <v>105</v>
      </c>
      <c r="I1673" s="86" t="s">
        <v>227</v>
      </c>
      <c r="J1673" s="86" t="s">
        <v>844</v>
      </c>
      <c r="K1673" s="86" t="s">
        <v>303</v>
      </c>
      <c r="L1673" s="87" t="s">
        <v>304</v>
      </c>
    </row>
    <row r="1674" spans="1:12" s="90" customFormat="1" ht="12.75" customHeight="1">
      <c r="A1674" s="99" t="s">
        <v>23</v>
      </c>
      <c r="B1674" s="100" t="s">
        <v>108</v>
      </c>
      <c r="C1674" s="101">
        <f>+C1675+C1677+C1678+C1679</f>
        <v>0</v>
      </c>
      <c r="D1674" s="101">
        <f>+D1675+D1677+D1678+D1679</f>
        <v>2540000</v>
      </c>
      <c r="E1674" s="101">
        <f>+E1675+E1677+E1678+E1679</f>
        <v>0</v>
      </c>
      <c r="F1674" s="102">
        <f>+E1674/D1674</f>
        <v>0</v>
      </c>
      <c r="G1674" s="99" t="s">
        <v>23</v>
      </c>
      <c r="H1674" s="100" t="s">
        <v>129</v>
      </c>
      <c r="I1674" s="101">
        <f>SUM(I1675:I1679)</f>
        <v>1377369</v>
      </c>
      <c r="J1674" s="101">
        <f>SUM(J1675:J1679)</f>
        <v>3917369</v>
      </c>
      <c r="K1674" s="101">
        <f>SUM(K1675:K1679)</f>
        <v>1749628</v>
      </c>
      <c r="L1674" s="102">
        <f>+K1674/J1674</f>
        <v>0.4466334419861902</v>
      </c>
    </row>
    <row r="1675" spans="1:12" s="90" customFormat="1" ht="12.75" customHeight="1">
      <c r="A1675" s="99" t="s">
        <v>111</v>
      </c>
      <c r="B1675" s="116" t="s">
        <v>209</v>
      </c>
      <c r="C1675" s="106">
        <f>C1676</f>
        <v>0</v>
      </c>
      <c r="D1675" s="106">
        <f>D1676</f>
        <v>2540000</v>
      </c>
      <c r="E1675" s="106">
        <v>0</v>
      </c>
      <c r="F1675" s="599">
        <f>+E1675/D1675</f>
        <v>0</v>
      </c>
      <c r="G1675" s="99" t="s">
        <v>111</v>
      </c>
      <c r="H1675" s="116" t="s">
        <v>80</v>
      </c>
      <c r="I1675" s="106">
        <v>1172229</v>
      </c>
      <c r="J1675" s="106">
        <v>3371363</v>
      </c>
      <c r="K1675" s="106">
        <v>1514495</v>
      </c>
      <c r="L1675" s="599">
        <f>+K1675/J1675</f>
        <v>0.4492233556576376</v>
      </c>
    </row>
    <row r="1676" spans="1:12" s="90" customFormat="1" ht="12.75" customHeight="1">
      <c r="A1676" s="99"/>
      <c r="B1676" s="116" t="s">
        <v>210</v>
      </c>
      <c r="C1676" s="106">
        <v>0</v>
      </c>
      <c r="D1676" s="106">
        <v>2540000</v>
      </c>
      <c r="E1676" s="106">
        <v>0</v>
      </c>
      <c r="F1676" s="599">
        <f>+E1676/D1676</f>
        <v>0</v>
      </c>
      <c r="G1676" s="99" t="s">
        <v>112</v>
      </c>
      <c r="H1676" s="116" t="s">
        <v>147</v>
      </c>
      <c r="I1676" s="106">
        <v>205140</v>
      </c>
      <c r="J1676" s="106">
        <v>546006</v>
      </c>
      <c r="K1676" s="106">
        <v>235133</v>
      </c>
      <c r="L1676" s="599">
        <f>+K1676/J1676</f>
        <v>0.4306417878191815</v>
      </c>
    </row>
    <row r="1677" spans="1:12" s="90" customFormat="1" ht="12.75" customHeight="1">
      <c r="A1677" s="99" t="s">
        <v>112</v>
      </c>
      <c r="B1677" s="116" t="s">
        <v>9</v>
      </c>
      <c r="C1677" s="106"/>
      <c r="D1677" s="106"/>
      <c r="E1677" s="106"/>
      <c r="F1677" s="599"/>
      <c r="G1677" s="99" t="s">
        <v>113</v>
      </c>
      <c r="H1677" s="116" t="s">
        <v>83</v>
      </c>
      <c r="I1677" s="106"/>
      <c r="J1677" s="106"/>
      <c r="K1677" s="106"/>
      <c r="L1677" s="599"/>
    </row>
    <row r="1678" spans="1:12" s="90" customFormat="1" ht="12.75" customHeight="1">
      <c r="A1678" s="99" t="s">
        <v>113</v>
      </c>
      <c r="B1678" s="116" t="s">
        <v>170</v>
      </c>
      <c r="C1678" s="106"/>
      <c r="D1678" s="106"/>
      <c r="E1678" s="106"/>
      <c r="F1678" s="599"/>
      <c r="G1678" s="99" t="s">
        <v>114</v>
      </c>
      <c r="H1678" s="116" t="s">
        <v>84</v>
      </c>
      <c r="I1678" s="106"/>
      <c r="J1678" s="106"/>
      <c r="K1678" s="106"/>
      <c r="L1678" s="599"/>
    </row>
    <row r="1679" spans="1:12" s="90" customFormat="1" ht="12.75" customHeight="1">
      <c r="A1679" s="99" t="s">
        <v>114</v>
      </c>
      <c r="B1679" s="116" t="s">
        <v>181</v>
      </c>
      <c r="C1679" s="106"/>
      <c r="D1679" s="106"/>
      <c r="E1679" s="106"/>
      <c r="F1679" s="599"/>
      <c r="G1679" s="99" t="s">
        <v>115</v>
      </c>
      <c r="H1679" s="116" t="s">
        <v>211</v>
      </c>
      <c r="I1679" s="106"/>
      <c r="J1679" s="106"/>
      <c r="K1679" s="106"/>
      <c r="L1679" s="599"/>
    </row>
    <row r="1680" spans="1:12" s="90" customFormat="1" ht="12.75" customHeight="1">
      <c r="A1680" s="112" t="s">
        <v>45</v>
      </c>
      <c r="B1680" s="100" t="s">
        <v>118</v>
      </c>
      <c r="C1680" s="101"/>
      <c r="D1680" s="101"/>
      <c r="E1680" s="101"/>
      <c r="F1680" s="102"/>
      <c r="G1680" s="112" t="s">
        <v>45</v>
      </c>
      <c r="H1680" s="100" t="s">
        <v>130</v>
      </c>
      <c r="I1680" s="101"/>
      <c r="J1680" s="101"/>
      <c r="K1680" s="101"/>
      <c r="L1680" s="102"/>
    </row>
    <row r="1681" spans="1:12" s="90" customFormat="1" ht="12.75" customHeight="1">
      <c r="A1681" s="112" t="s">
        <v>111</v>
      </c>
      <c r="B1681" s="100" t="s">
        <v>106</v>
      </c>
      <c r="C1681" s="106"/>
      <c r="D1681" s="106"/>
      <c r="E1681" s="106"/>
      <c r="F1681" s="599"/>
      <c r="G1681" s="112" t="s">
        <v>111</v>
      </c>
      <c r="H1681" s="100" t="s">
        <v>131</v>
      </c>
      <c r="I1681" s="106"/>
      <c r="J1681" s="106"/>
      <c r="K1681" s="106"/>
      <c r="L1681" s="599"/>
    </row>
    <row r="1682" spans="1:12" s="90" customFormat="1" ht="12.75" customHeight="1">
      <c r="A1682" s="112" t="s">
        <v>112</v>
      </c>
      <c r="B1682" s="100" t="s">
        <v>39</v>
      </c>
      <c r="C1682" s="106"/>
      <c r="D1682" s="106"/>
      <c r="E1682" s="106"/>
      <c r="F1682" s="599"/>
      <c r="G1682" s="112" t="s">
        <v>112</v>
      </c>
      <c r="H1682" s="100" t="s">
        <v>87</v>
      </c>
      <c r="I1682" s="106"/>
      <c r="J1682" s="106"/>
      <c r="K1682" s="106"/>
      <c r="L1682" s="599"/>
    </row>
    <row r="1683" spans="1:12" s="90" customFormat="1" ht="12.75" customHeight="1">
      <c r="A1683" s="112" t="s">
        <v>113</v>
      </c>
      <c r="B1683" s="100" t="s">
        <v>201</v>
      </c>
      <c r="C1683" s="106"/>
      <c r="D1683" s="106"/>
      <c r="E1683" s="106"/>
      <c r="F1683" s="599"/>
      <c r="G1683" s="112" t="s">
        <v>113</v>
      </c>
      <c r="H1683" s="100" t="s">
        <v>90</v>
      </c>
      <c r="I1683" s="106"/>
      <c r="J1683" s="106"/>
      <c r="K1683" s="106"/>
      <c r="L1683" s="599"/>
    </row>
    <row r="1684" spans="1:12" s="90" customFormat="1" ht="12.75" customHeight="1">
      <c r="A1684" s="112" t="s">
        <v>56</v>
      </c>
      <c r="B1684" s="100" t="s">
        <v>126</v>
      </c>
      <c r="C1684" s="101">
        <v>1377369</v>
      </c>
      <c r="D1684" s="101">
        <v>1377369</v>
      </c>
      <c r="E1684" s="101">
        <v>1377369</v>
      </c>
      <c r="F1684" s="102">
        <f>+E1684/D1684</f>
        <v>1</v>
      </c>
      <c r="G1684" s="112" t="s">
        <v>56</v>
      </c>
      <c r="H1684" s="100" t="s">
        <v>132</v>
      </c>
      <c r="I1684" s="101"/>
      <c r="J1684" s="101"/>
      <c r="K1684" s="101"/>
      <c r="L1684" s="102"/>
    </row>
    <row r="1685" spans="1:12" s="90" customFormat="1" ht="12.75" customHeight="1">
      <c r="A1685" s="99" t="s">
        <v>64</v>
      </c>
      <c r="B1685" s="116" t="s">
        <v>127</v>
      </c>
      <c r="C1685" s="101"/>
      <c r="D1685" s="101"/>
      <c r="E1685" s="101"/>
      <c r="F1685" s="102"/>
      <c r="G1685" s="99" t="s">
        <v>64</v>
      </c>
      <c r="H1685" s="116" t="s">
        <v>133</v>
      </c>
      <c r="I1685" s="101"/>
      <c r="J1685" s="101"/>
      <c r="K1685" s="101"/>
      <c r="L1685" s="102"/>
    </row>
    <row r="1686" spans="1:12" s="90" customFormat="1" ht="12.75" customHeight="1" thickBot="1">
      <c r="A1686" s="117"/>
      <c r="B1686" s="118" t="s">
        <v>148</v>
      </c>
      <c r="C1686" s="88">
        <f>+C1674+C1680+C1684+C1685</f>
        <v>1377369</v>
      </c>
      <c r="D1686" s="88">
        <f>+D1674+D1680+D1684+D1685</f>
        <v>3917369</v>
      </c>
      <c r="E1686" s="88">
        <f>+E1674+E1680+E1684+E1685</f>
        <v>1377369</v>
      </c>
      <c r="F1686" s="119">
        <f>+E1686/D1686</f>
        <v>0.3516056312285108</v>
      </c>
      <c r="G1686" s="117"/>
      <c r="H1686" s="118" t="s">
        <v>149</v>
      </c>
      <c r="I1686" s="88">
        <f>+I1685+I1684+I1680+I1674</f>
        <v>1377369</v>
      </c>
      <c r="J1686" s="88">
        <f>+J1685+J1684+J1680+J1674</f>
        <v>3917369</v>
      </c>
      <c r="K1686" s="88">
        <f>+K1685+K1684+K1680+K1674</f>
        <v>1749628</v>
      </c>
      <c r="L1686" s="119">
        <f>+K1686/J1686</f>
        <v>0.4466334419861902</v>
      </c>
    </row>
    <row r="1687" spans="1:12" s="90" customFormat="1" ht="15">
      <c r="A1687" s="124"/>
      <c r="B1687" s="124"/>
      <c r="C1687" s="93"/>
      <c r="D1687" s="93"/>
      <c r="E1687" s="141"/>
      <c r="F1687" s="643"/>
      <c r="G1687" s="124"/>
      <c r="H1687" s="124"/>
      <c r="I1687" s="93"/>
      <c r="J1687" s="93"/>
      <c r="K1687" s="141"/>
      <c r="L1687" s="643"/>
    </row>
    <row r="1688" spans="1:12" s="90" customFormat="1" ht="15.75" thickBot="1">
      <c r="A1688" s="90" t="s">
        <v>853</v>
      </c>
      <c r="B1688" s="124"/>
      <c r="C1688" s="93"/>
      <c r="D1688" s="93"/>
      <c r="E1688" s="93"/>
      <c r="F1688" s="93"/>
      <c r="G1688" s="124"/>
      <c r="H1688" s="124"/>
      <c r="I1688" s="595"/>
      <c r="J1688" s="595"/>
      <c r="K1688" s="93"/>
      <c r="L1688" s="596" t="s">
        <v>216</v>
      </c>
    </row>
    <row r="1689" spans="1:12" s="90" customFormat="1" ht="28.5">
      <c r="A1689" s="96"/>
      <c r="B1689" s="97" t="s">
        <v>104</v>
      </c>
      <c r="C1689" s="86" t="s">
        <v>227</v>
      </c>
      <c r="D1689" s="86" t="s">
        <v>844</v>
      </c>
      <c r="E1689" s="86" t="s">
        <v>303</v>
      </c>
      <c r="F1689" s="87" t="s">
        <v>304</v>
      </c>
      <c r="G1689" s="96">
        <v>152</v>
      </c>
      <c r="H1689" s="97" t="s">
        <v>105</v>
      </c>
      <c r="I1689" s="86" t="s">
        <v>227</v>
      </c>
      <c r="J1689" s="86" t="s">
        <v>844</v>
      </c>
      <c r="K1689" s="86" t="s">
        <v>303</v>
      </c>
      <c r="L1689" s="87" t="s">
        <v>304</v>
      </c>
    </row>
    <row r="1690" spans="1:12" s="90" customFormat="1" ht="15" customHeight="1">
      <c r="A1690" s="99" t="s">
        <v>23</v>
      </c>
      <c r="B1690" s="100" t="s">
        <v>108</v>
      </c>
      <c r="C1690" s="101">
        <f>+C1691+C1693+C1694+C1695</f>
        <v>635000</v>
      </c>
      <c r="D1690" s="101">
        <f>+D1691+D1693+D1694+D1695</f>
        <v>635000</v>
      </c>
      <c r="E1690" s="101">
        <f>+E1691+E1693+E1694+E1695</f>
        <v>635000</v>
      </c>
      <c r="F1690" s="102">
        <f>+E1690/D1690</f>
        <v>1</v>
      </c>
      <c r="G1690" s="99" t="s">
        <v>23</v>
      </c>
      <c r="H1690" s="100" t="s">
        <v>129</v>
      </c>
      <c r="I1690" s="101">
        <f>SUM(I1691:I1695)</f>
        <v>635000</v>
      </c>
      <c r="J1690" s="101">
        <f>SUM(J1691:J1695)</f>
        <v>635000</v>
      </c>
      <c r="K1690" s="101">
        <f>SUM(K1691:K1695)</f>
        <v>353889</v>
      </c>
      <c r="L1690" s="102">
        <f>+K1690/J1690</f>
        <v>0.5573055118110236</v>
      </c>
    </row>
    <row r="1691" spans="1:12" s="90" customFormat="1" ht="22.5" customHeight="1">
      <c r="A1691" s="99" t="s">
        <v>111</v>
      </c>
      <c r="B1691" s="116" t="s">
        <v>209</v>
      </c>
      <c r="C1691" s="106">
        <f>C1692</f>
        <v>635000</v>
      </c>
      <c r="D1691" s="106">
        <f>D1692</f>
        <v>635000</v>
      </c>
      <c r="E1691" s="106">
        <f>E1692</f>
        <v>635000</v>
      </c>
      <c r="F1691" s="599">
        <f>+E1691/D1691</f>
        <v>1</v>
      </c>
      <c r="G1691" s="99" t="s">
        <v>111</v>
      </c>
      <c r="H1691" s="116" t="s">
        <v>80</v>
      </c>
      <c r="I1691" s="106">
        <v>540426</v>
      </c>
      <c r="J1691" s="106">
        <v>540426</v>
      </c>
      <c r="K1691" s="106">
        <v>303541</v>
      </c>
      <c r="L1691" s="599">
        <f>+K1691/J1691</f>
        <v>0.5616698678449964</v>
      </c>
    </row>
    <row r="1692" spans="1:12" s="90" customFormat="1" ht="21" customHeight="1">
      <c r="A1692" s="99"/>
      <c r="B1692" s="116" t="s">
        <v>210</v>
      </c>
      <c r="C1692" s="106">
        <v>635000</v>
      </c>
      <c r="D1692" s="106">
        <v>635000</v>
      </c>
      <c r="E1692" s="106">
        <v>635000</v>
      </c>
      <c r="F1692" s="599">
        <f>+E1692/D1692</f>
        <v>1</v>
      </c>
      <c r="G1692" s="99" t="s">
        <v>112</v>
      </c>
      <c r="H1692" s="116" t="s">
        <v>147</v>
      </c>
      <c r="I1692" s="106">
        <v>94574</v>
      </c>
      <c r="J1692" s="106">
        <v>94574</v>
      </c>
      <c r="K1692" s="106">
        <v>50348</v>
      </c>
      <c r="L1692" s="599">
        <f>+K1692/J1692</f>
        <v>0.5323661894389579</v>
      </c>
    </row>
    <row r="1693" spans="1:12" s="90" customFormat="1" ht="15" customHeight="1">
      <c r="A1693" s="99" t="s">
        <v>112</v>
      </c>
      <c r="B1693" s="116" t="s">
        <v>9</v>
      </c>
      <c r="C1693" s="106"/>
      <c r="D1693" s="106"/>
      <c r="E1693" s="106"/>
      <c r="F1693" s="599"/>
      <c r="G1693" s="99" t="s">
        <v>113</v>
      </c>
      <c r="H1693" s="116" t="s">
        <v>83</v>
      </c>
      <c r="I1693" s="106"/>
      <c r="J1693" s="106"/>
      <c r="K1693" s="106"/>
      <c r="L1693" s="599"/>
    </row>
    <row r="1694" spans="1:12" s="90" customFormat="1" ht="15" customHeight="1">
      <c r="A1694" s="99" t="s">
        <v>113</v>
      </c>
      <c r="B1694" s="116" t="s">
        <v>170</v>
      </c>
      <c r="C1694" s="106"/>
      <c r="D1694" s="106"/>
      <c r="E1694" s="106"/>
      <c r="F1694" s="599"/>
      <c r="G1694" s="99" t="s">
        <v>114</v>
      </c>
      <c r="H1694" s="116" t="s">
        <v>84</v>
      </c>
      <c r="I1694" s="106"/>
      <c r="J1694" s="106"/>
      <c r="K1694" s="106"/>
      <c r="L1694" s="599"/>
    </row>
    <row r="1695" spans="1:12" s="90" customFormat="1" ht="15" customHeight="1">
      <c r="A1695" s="99" t="s">
        <v>114</v>
      </c>
      <c r="B1695" s="116" t="s">
        <v>181</v>
      </c>
      <c r="C1695" s="106"/>
      <c r="D1695" s="106"/>
      <c r="E1695" s="106"/>
      <c r="F1695" s="599"/>
      <c r="G1695" s="99" t="s">
        <v>115</v>
      </c>
      <c r="H1695" s="116" t="s">
        <v>211</v>
      </c>
      <c r="I1695" s="106"/>
      <c r="J1695" s="106"/>
      <c r="K1695" s="106"/>
      <c r="L1695" s="599"/>
    </row>
    <row r="1696" spans="1:12" s="90" customFormat="1" ht="15" customHeight="1">
      <c r="A1696" s="112" t="s">
        <v>45</v>
      </c>
      <c r="B1696" s="100" t="s">
        <v>118</v>
      </c>
      <c r="C1696" s="101"/>
      <c r="D1696" s="101"/>
      <c r="E1696" s="101"/>
      <c r="F1696" s="102"/>
      <c r="G1696" s="112" t="s">
        <v>45</v>
      </c>
      <c r="H1696" s="100" t="s">
        <v>130</v>
      </c>
      <c r="I1696" s="101"/>
      <c r="J1696" s="101"/>
      <c r="K1696" s="101"/>
      <c r="L1696" s="102"/>
    </row>
    <row r="1697" spans="1:12" s="90" customFormat="1" ht="15" customHeight="1">
      <c r="A1697" s="112" t="s">
        <v>111</v>
      </c>
      <c r="B1697" s="100" t="s">
        <v>106</v>
      </c>
      <c r="C1697" s="106"/>
      <c r="D1697" s="106"/>
      <c r="E1697" s="106"/>
      <c r="F1697" s="599"/>
      <c r="G1697" s="112" t="s">
        <v>111</v>
      </c>
      <c r="H1697" s="100" t="s">
        <v>131</v>
      </c>
      <c r="I1697" s="106"/>
      <c r="J1697" s="106"/>
      <c r="K1697" s="106"/>
      <c r="L1697" s="599"/>
    </row>
    <row r="1698" spans="1:12" s="90" customFormat="1" ht="15" customHeight="1">
      <c r="A1698" s="112" t="s">
        <v>112</v>
      </c>
      <c r="B1698" s="100" t="s">
        <v>39</v>
      </c>
      <c r="C1698" s="106"/>
      <c r="D1698" s="106"/>
      <c r="E1698" s="106"/>
      <c r="F1698" s="599"/>
      <c r="G1698" s="112" t="s">
        <v>112</v>
      </c>
      <c r="H1698" s="100" t="s">
        <v>87</v>
      </c>
      <c r="I1698" s="106"/>
      <c r="J1698" s="106"/>
      <c r="K1698" s="106"/>
      <c r="L1698" s="599"/>
    </row>
    <row r="1699" spans="1:12" s="90" customFormat="1" ht="15" customHeight="1">
      <c r="A1699" s="112" t="s">
        <v>113</v>
      </c>
      <c r="B1699" s="100" t="s">
        <v>201</v>
      </c>
      <c r="C1699" s="106"/>
      <c r="D1699" s="106"/>
      <c r="E1699" s="106"/>
      <c r="F1699" s="599"/>
      <c r="G1699" s="112" t="s">
        <v>113</v>
      </c>
      <c r="H1699" s="100" t="s">
        <v>90</v>
      </c>
      <c r="I1699" s="106"/>
      <c r="J1699" s="106"/>
      <c r="K1699" s="106"/>
      <c r="L1699" s="599"/>
    </row>
    <row r="1700" spans="1:12" s="90" customFormat="1" ht="15" customHeight="1">
      <c r="A1700" s="112" t="s">
        <v>56</v>
      </c>
      <c r="B1700" s="100" t="s">
        <v>126</v>
      </c>
      <c r="C1700" s="101"/>
      <c r="D1700" s="101"/>
      <c r="E1700" s="101"/>
      <c r="F1700" s="102"/>
      <c r="G1700" s="112" t="s">
        <v>56</v>
      </c>
      <c r="H1700" s="100" t="s">
        <v>132</v>
      </c>
      <c r="I1700" s="101"/>
      <c r="J1700" s="101"/>
      <c r="K1700" s="101"/>
      <c r="L1700" s="102"/>
    </row>
    <row r="1701" spans="1:12" s="90" customFormat="1" ht="19.5" customHeight="1">
      <c r="A1701" s="99" t="s">
        <v>64</v>
      </c>
      <c r="B1701" s="116" t="s">
        <v>127</v>
      </c>
      <c r="C1701" s="101"/>
      <c r="D1701" s="101"/>
      <c r="E1701" s="101"/>
      <c r="F1701" s="102"/>
      <c r="G1701" s="99" t="s">
        <v>64</v>
      </c>
      <c r="H1701" s="116" t="s">
        <v>133</v>
      </c>
      <c r="I1701" s="101"/>
      <c r="J1701" s="101"/>
      <c r="K1701" s="101"/>
      <c r="L1701" s="102"/>
    </row>
    <row r="1702" spans="1:12" s="90" customFormat="1" ht="15" customHeight="1" thickBot="1">
      <c r="A1702" s="117"/>
      <c r="B1702" s="118" t="s">
        <v>148</v>
      </c>
      <c r="C1702" s="88">
        <f>+C1690+C1696+C1700+C1701</f>
        <v>635000</v>
      </c>
      <c r="D1702" s="88">
        <f>+D1690+D1696+D1700+D1701</f>
        <v>635000</v>
      </c>
      <c r="E1702" s="88">
        <f>+E1690+E1696+E1700+E1701</f>
        <v>635000</v>
      </c>
      <c r="F1702" s="119">
        <f>+E1702/D1702</f>
        <v>1</v>
      </c>
      <c r="G1702" s="117"/>
      <c r="H1702" s="118" t="s">
        <v>149</v>
      </c>
      <c r="I1702" s="88">
        <f>+I1701+I1700+I1696+I1690</f>
        <v>635000</v>
      </c>
      <c r="J1702" s="88">
        <f>+J1701+J1700+J1696+J1690</f>
        <v>635000</v>
      </c>
      <c r="K1702" s="88">
        <f>+K1701+K1700+K1696+K1690</f>
        <v>353889</v>
      </c>
      <c r="L1702" s="119">
        <f>+K1702/J1702</f>
        <v>0.5573055118110236</v>
      </c>
    </row>
    <row r="1703" spans="1:12" s="90" customFormat="1" ht="15">
      <c r="A1703" s="124"/>
      <c r="B1703" s="124"/>
      <c r="C1703" s="93"/>
      <c r="D1703" s="93"/>
      <c r="E1703" s="93"/>
      <c r="F1703" s="93"/>
      <c r="G1703" s="124"/>
      <c r="H1703" s="124"/>
      <c r="I1703" s="93"/>
      <c r="J1703" s="93"/>
      <c r="K1703" s="93"/>
      <c r="L1703" s="93"/>
    </row>
    <row r="1704" spans="1:12" s="90" customFormat="1" ht="15.75" thickBot="1">
      <c r="A1704" s="90" t="s">
        <v>854</v>
      </c>
      <c r="B1704" s="124"/>
      <c r="C1704" s="93"/>
      <c r="D1704" s="93"/>
      <c r="E1704" s="93"/>
      <c r="F1704" s="93"/>
      <c r="G1704" s="124"/>
      <c r="H1704" s="124"/>
      <c r="I1704" s="595"/>
      <c r="J1704" s="595"/>
      <c r="K1704" s="93"/>
      <c r="L1704" s="596" t="s">
        <v>216</v>
      </c>
    </row>
    <row r="1705" spans="1:12" s="90" customFormat="1" ht="28.5">
      <c r="A1705" s="96"/>
      <c r="B1705" s="97" t="s">
        <v>104</v>
      </c>
      <c r="C1705" s="86" t="s">
        <v>227</v>
      </c>
      <c r="D1705" s="86" t="s">
        <v>844</v>
      </c>
      <c r="E1705" s="86" t="s">
        <v>303</v>
      </c>
      <c r="F1705" s="87" t="s">
        <v>304</v>
      </c>
      <c r="G1705" s="96">
        <v>144</v>
      </c>
      <c r="H1705" s="97" t="s">
        <v>105</v>
      </c>
      <c r="I1705" s="86" t="s">
        <v>227</v>
      </c>
      <c r="J1705" s="86" t="s">
        <v>844</v>
      </c>
      <c r="K1705" s="86" t="s">
        <v>303</v>
      </c>
      <c r="L1705" s="87" t="s">
        <v>304</v>
      </c>
    </row>
    <row r="1706" spans="1:12" s="90" customFormat="1" ht="15">
      <c r="A1706" s="99" t="s">
        <v>23</v>
      </c>
      <c r="B1706" s="100" t="s">
        <v>108</v>
      </c>
      <c r="C1706" s="101">
        <f>+C1707+C1709+C1710+C1711</f>
        <v>1905000</v>
      </c>
      <c r="D1706" s="101">
        <f>+D1707+D1709+D1710+D1711</f>
        <v>1905000</v>
      </c>
      <c r="E1706" s="101">
        <f>+E1707+E1709+E1710+E1711</f>
        <v>714375</v>
      </c>
      <c r="F1706" s="102">
        <f>+E1706/D1706</f>
        <v>0.375</v>
      </c>
      <c r="G1706" s="99" t="s">
        <v>23</v>
      </c>
      <c r="H1706" s="100" t="s">
        <v>129</v>
      </c>
      <c r="I1706" s="101">
        <f>SUM(I1707:I1711)</f>
        <v>1905000</v>
      </c>
      <c r="J1706" s="101">
        <f>SUM(J1707:J1711)</f>
        <v>1905000</v>
      </c>
      <c r="K1706" s="101">
        <f>SUM(K1707:K1711)</f>
        <v>0</v>
      </c>
      <c r="L1706" s="102">
        <f>+K1706/J1706</f>
        <v>0</v>
      </c>
    </row>
    <row r="1707" spans="1:12" s="90" customFormat="1" ht="15">
      <c r="A1707" s="99" t="s">
        <v>111</v>
      </c>
      <c r="B1707" s="116" t="s">
        <v>209</v>
      </c>
      <c r="C1707" s="106">
        <f>C1708</f>
        <v>1905000</v>
      </c>
      <c r="D1707" s="106">
        <f>D1708</f>
        <v>1905000</v>
      </c>
      <c r="E1707" s="106">
        <f>E1708</f>
        <v>714375</v>
      </c>
      <c r="F1707" s="599">
        <f>+E1707/D1707</f>
        <v>0.375</v>
      </c>
      <c r="G1707" s="99" t="s">
        <v>111</v>
      </c>
      <c r="H1707" s="116" t="s">
        <v>80</v>
      </c>
      <c r="I1707" s="106">
        <v>1594142</v>
      </c>
      <c r="J1707" s="106">
        <v>1594142</v>
      </c>
      <c r="K1707" s="106">
        <v>0</v>
      </c>
      <c r="L1707" s="599">
        <f>+K1707/J1707</f>
        <v>0</v>
      </c>
    </row>
    <row r="1708" spans="1:12" s="90" customFormat="1" ht="15">
      <c r="A1708" s="99"/>
      <c r="B1708" s="116" t="s">
        <v>210</v>
      </c>
      <c r="C1708" s="106">
        <v>1905000</v>
      </c>
      <c r="D1708" s="106">
        <v>1905000</v>
      </c>
      <c r="E1708" s="106">
        <v>714375</v>
      </c>
      <c r="F1708" s="599">
        <f>+E1708/D1708</f>
        <v>0.375</v>
      </c>
      <c r="G1708" s="99" t="s">
        <v>112</v>
      </c>
      <c r="H1708" s="116" t="s">
        <v>147</v>
      </c>
      <c r="I1708" s="106">
        <v>310858</v>
      </c>
      <c r="J1708" s="106">
        <v>310858</v>
      </c>
      <c r="K1708" s="106">
        <v>0</v>
      </c>
      <c r="L1708" s="599">
        <f>+K1708/J1708</f>
        <v>0</v>
      </c>
    </row>
    <row r="1709" spans="1:12" s="90" customFormat="1" ht="15">
      <c r="A1709" s="99" t="s">
        <v>112</v>
      </c>
      <c r="B1709" s="116" t="s">
        <v>9</v>
      </c>
      <c r="C1709" s="106"/>
      <c r="D1709" s="106"/>
      <c r="E1709" s="106"/>
      <c r="F1709" s="599"/>
      <c r="G1709" s="99" t="s">
        <v>113</v>
      </c>
      <c r="H1709" s="116" t="s">
        <v>83</v>
      </c>
      <c r="I1709" s="106"/>
      <c r="J1709" s="106"/>
      <c r="K1709" s="106"/>
      <c r="L1709" s="599"/>
    </row>
    <row r="1710" spans="1:12" s="90" customFormat="1" ht="15">
      <c r="A1710" s="99" t="s">
        <v>113</v>
      </c>
      <c r="B1710" s="116" t="s">
        <v>170</v>
      </c>
      <c r="C1710" s="106"/>
      <c r="D1710" s="106"/>
      <c r="E1710" s="106"/>
      <c r="F1710" s="599"/>
      <c r="G1710" s="99" t="s">
        <v>114</v>
      </c>
      <c r="H1710" s="116" t="s">
        <v>84</v>
      </c>
      <c r="I1710" s="106"/>
      <c r="J1710" s="106"/>
      <c r="K1710" s="106"/>
      <c r="L1710" s="599"/>
    </row>
    <row r="1711" spans="1:12" s="90" customFormat="1" ht="15">
      <c r="A1711" s="99" t="s">
        <v>114</v>
      </c>
      <c r="B1711" s="116" t="s">
        <v>181</v>
      </c>
      <c r="C1711" s="106"/>
      <c r="D1711" s="106"/>
      <c r="E1711" s="106"/>
      <c r="F1711" s="599"/>
      <c r="G1711" s="99" t="s">
        <v>115</v>
      </c>
      <c r="H1711" s="116" t="s">
        <v>211</v>
      </c>
      <c r="I1711" s="106"/>
      <c r="J1711" s="106"/>
      <c r="K1711" s="106"/>
      <c r="L1711" s="599"/>
    </row>
    <row r="1712" spans="1:12" s="90" customFormat="1" ht="15">
      <c r="A1712" s="112" t="s">
        <v>45</v>
      </c>
      <c r="B1712" s="100" t="s">
        <v>118</v>
      </c>
      <c r="C1712" s="101"/>
      <c r="D1712" s="101"/>
      <c r="E1712" s="101"/>
      <c r="F1712" s="102"/>
      <c r="G1712" s="112" t="s">
        <v>45</v>
      </c>
      <c r="H1712" s="100" t="s">
        <v>130</v>
      </c>
      <c r="I1712" s="101"/>
      <c r="J1712" s="101"/>
      <c r="K1712" s="101"/>
      <c r="L1712" s="102"/>
    </row>
    <row r="1713" spans="1:12" s="90" customFormat="1" ht="15">
      <c r="A1713" s="112" t="s">
        <v>111</v>
      </c>
      <c r="B1713" s="100" t="s">
        <v>106</v>
      </c>
      <c r="C1713" s="106"/>
      <c r="D1713" s="106"/>
      <c r="E1713" s="106"/>
      <c r="F1713" s="599"/>
      <c r="G1713" s="112" t="s">
        <v>111</v>
      </c>
      <c r="H1713" s="100" t="s">
        <v>131</v>
      </c>
      <c r="I1713" s="106"/>
      <c r="J1713" s="106"/>
      <c r="K1713" s="106"/>
      <c r="L1713" s="599"/>
    </row>
    <row r="1714" spans="1:12" s="90" customFormat="1" ht="15">
      <c r="A1714" s="112" t="s">
        <v>112</v>
      </c>
      <c r="B1714" s="100" t="s">
        <v>39</v>
      </c>
      <c r="C1714" s="106"/>
      <c r="D1714" s="106"/>
      <c r="E1714" s="106"/>
      <c r="F1714" s="599"/>
      <c r="G1714" s="112" t="s">
        <v>112</v>
      </c>
      <c r="H1714" s="100" t="s">
        <v>87</v>
      </c>
      <c r="I1714" s="106"/>
      <c r="J1714" s="106"/>
      <c r="K1714" s="106"/>
      <c r="L1714" s="599"/>
    </row>
    <row r="1715" spans="1:12" s="90" customFormat="1" ht="15">
      <c r="A1715" s="112" t="s">
        <v>113</v>
      </c>
      <c r="B1715" s="100" t="s">
        <v>201</v>
      </c>
      <c r="C1715" s="106"/>
      <c r="D1715" s="106"/>
      <c r="E1715" s="106"/>
      <c r="F1715" s="599"/>
      <c r="G1715" s="112" t="s">
        <v>113</v>
      </c>
      <c r="H1715" s="100" t="s">
        <v>90</v>
      </c>
      <c r="I1715" s="106"/>
      <c r="J1715" s="106"/>
      <c r="K1715" s="106"/>
      <c r="L1715" s="599"/>
    </row>
    <row r="1716" spans="1:12" s="90" customFormat="1" ht="15">
      <c r="A1716" s="112" t="s">
        <v>56</v>
      </c>
      <c r="B1716" s="100" t="s">
        <v>126</v>
      </c>
      <c r="C1716" s="101"/>
      <c r="D1716" s="101"/>
      <c r="E1716" s="101"/>
      <c r="F1716" s="102"/>
      <c r="G1716" s="112" t="s">
        <v>56</v>
      </c>
      <c r="H1716" s="100" t="s">
        <v>132</v>
      </c>
      <c r="I1716" s="101"/>
      <c r="J1716" s="101"/>
      <c r="K1716" s="101"/>
      <c r="L1716" s="102"/>
    </row>
    <row r="1717" spans="1:12" s="90" customFormat="1" ht="15">
      <c r="A1717" s="99" t="s">
        <v>64</v>
      </c>
      <c r="B1717" s="116" t="s">
        <v>127</v>
      </c>
      <c r="C1717" s="101"/>
      <c r="D1717" s="101"/>
      <c r="E1717" s="101"/>
      <c r="F1717" s="102"/>
      <c r="G1717" s="99" t="s">
        <v>64</v>
      </c>
      <c r="H1717" s="116" t="s">
        <v>133</v>
      </c>
      <c r="I1717" s="101"/>
      <c r="J1717" s="101"/>
      <c r="K1717" s="101"/>
      <c r="L1717" s="102"/>
    </row>
    <row r="1718" spans="1:12" s="90" customFormat="1" ht="15.75" thickBot="1">
      <c r="A1718" s="117"/>
      <c r="B1718" s="118" t="s">
        <v>148</v>
      </c>
      <c r="C1718" s="88">
        <f>+C1706+C1712+C1716+C1717</f>
        <v>1905000</v>
      </c>
      <c r="D1718" s="88">
        <f>+D1706+D1712+D1716+D1717</f>
        <v>1905000</v>
      </c>
      <c r="E1718" s="88">
        <f>+E1706+E1712+E1716+E1717</f>
        <v>714375</v>
      </c>
      <c r="F1718" s="119">
        <f>+E1718/D1718</f>
        <v>0.375</v>
      </c>
      <c r="G1718" s="117"/>
      <c r="H1718" s="118" t="s">
        <v>149</v>
      </c>
      <c r="I1718" s="88">
        <f>+I1717+I1716+I1712+I1706</f>
        <v>1905000</v>
      </c>
      <c r="J1718" s="88">
        <f>+J1717+J1716+J1712+J1706</f>
        <v>1905000</v>
      </c>
      <c r="K1718" s="88">
        <f>+K1717+K1716+K1712+K1706</f>
        <v>0</v>
      </c>
      <c r="L1718" s="119">
        <f>+K1718/J1718</f>
        <v>0</v>
      </c>
    </row>
    <row r="1719" spans="1:12" s="90" customFormat="1" ht="15">
      <c r="A1719" s="124"/>
      <c r="B1719" s="124"/>
      <c r="C1719" s="93"/>
      <c r="D1719" s="93"/>
      <c r="E1719" s="93"/>
      <c r="F1719" s="93"/>
      <c r="G1719" s="124"/>
      <c r="H1719" s="124"/>
      <c r="I1719" s="93"/>
      <c r="J1719" s="93"/>
      <c r="K1719" s="93"/>
      <c r="L1719" s="93"/>
    </row>
    <row r="1720" spans="1:12" s="90" customFormat="1" ht="15.75" thickBot="1">
      <c r="A1720" s="90" t="s">
        <v>855</v>
      </c>
      <c r="B1720" s="124"/>
      <c r="C1720" s="93"/>
      <c r="D1720" s="93"/>
      <c r="E1720" s="93"/>
      <c r="F1720" s="93"/>
      <c r="G1720" s="124"/>
      <c r="H1720" s="124"/>
      <c r="I1720" s="595"/>
      <c r="J1720" s="595"/>
      <c r="K1720" s="93"/>
      <c r="L1720" s="93" t="s">
        <v>216</v>
      </c>
    </row>
    <row r="1721" spans="1:12" s="90" customFormat="1" ht="28.5">
      <c r="A1721" s="96"/>
      <c r="B1721" s="97" t="s">
        <v>104</v>
      </c>
      <c r="C1721" s="86" t="s">
        <v>227</v>
      </c>
      <c r="D1721" s="86" t="s">
        <v>844</v>
      </c>
      <c r="E1721" s="86" t="s">
        <v>303</v>
      </c>
      <c r="F1721" s="87" t="s">
        <v>304</v>
      </c>
      <c r="G1721" s="96">
        <v>150</v>
      </c>
      <c r="H1721" s="97" t="s">
        <v>105</v>
      </c>
      <c r="I1721" s="86" t="s">
        <v>227</v>
      </c>
      <c r="J1721" s="86" t="s">
        <v>844</v>
      </c>
      <c r="K1721" s="86" t="s">
        <v>303</v>
      </c>
      <c r="L1721" s="87" t="s">
        <v>304</v>
      </c>
    </row>
    <row r="1722" spans="1:12" s="90" customFormat="1" ht="15">
      <c r="A1722" s="99" t="s">
        <v>23</v>
      </c>
      <c r="B1722" s="100" t="s">
        <v>108</v>
      </c>
      <c r="C1722" s="101">
        <f>+C1723+C1725+C1726+C1727</f>
        <v>17056750</v>
      </c>
      <c r="D1722" s="101">
        <f>+D1723+D1725+D1726+D1727</f>
        <v>17056750</v>
      </c>
      <c r="E1722" s="101">
        <f>+E1723+E1725+E1726+E1727</f>
        <v>15459562</v>
      </c>
      <c r="F1722" s="102">
        <f>+E1722/D1722</f>
        <v>0.906360355870843</v>
      </c>
      <c r="G1722" s="99" t="s">
        <v>23</v>
      </c>
      <c r="H1722" s="100" t="s">
        <v>129</v>
      </c>
      <c r="I1722" s="101">
        <f>SUM(I1723:I1727)</f>
        <v>17056750</v>
      </c>
      <c r="J1722" s="101">
        <f>SUM(J1723:J1727)</f>
        <v>17056750</v>
      </c>
      <c r="K1722" s="101">
        <f>SUM(K1723:K1727)</f>
        <v>6317021</v>
      </c>
      <c r="L1722" s="102">
        <f>+K1722/J1722</f>
        <v>0.37035314464947894</v>
      </c>
    </row>
    <row r="1723" spans="1:12" s="90" customFormat="1" ht="15">
      <c r="A1723" s="99" t="s">
        <v>111</v>
      </c>
      <c r="B1723" s="116" t="s">
        <v>209</v>
      </c>
      <c r="C1723" s="106">
        <f>C1724</f>
        <v>17056750</v>
      </c>
      <c r="D1723" s="106">
        <f>D1724</f>
        <v>17056750</v>
      </c>
      <c r="E1723" s="106">
        <f>E1724</f>
        <v>15459562</v>
      </c>
      <c r="F1723" s="599">
        <f>+E1723/D1723</f>
        <v>0.906360355870843</v>
      </c>
      <c r="G1723" s="99" t="s">
        <v>111</v>
      </c>
      <c r="H1723" s="116" t="s">
        <v>80</v>
      </c>
      <c r="I1723" s="106">
        <v>14516383</v>
      </c>
      <c r="J1723" s="106">
        <v>14516383</v>
      </c>
      <c r="K1723" s="106">
        <v>5345949</v>
      </c>
      <c r="L1723" s="599">
        <f>+K1723/J1723</f>
        <v>0.3682700435776598</v>
      </c>
    </row>
    <row r="1724" spans="1:12" s="90" customFormat="1" ht="15">
      <c r="A1724" s="99"/>
      <c r="B1724" s="116" t="s">
        <v>210</v>
      </c>
      <c r="C1724" s="106">
        <v>17056750</v>
      </c>
      <c r="D1724" s="106">
        <v>17056750</v>
      </c>
      <c r="E1724" s="106">
        <v>15459562</v>
      </c>
      <c r="F1724" s="599">
        <f>+E1724/D1724</f>
        <v>0.906360355870843</v>
      </c>
      <c r="G1724" s="99" t="s">
        <v>112</v>
      </c>
      <c r="H1724" s="116" t="s">
        <v>147</v>
      </c>
      <c r="I1724" s="106">
        <v>2540367</v>
      </c>
      <c r="J1724" s="106">
        <v>2540367</v>
      </c>
      <c r="K1724" s="106">
        <v>971072</v>
      </c>
      <c r="L1724" s="599">
        <f>+K1724/J1724</f>
        <v>0.38225657946273117</v>
      </c>
    </row>
    <row r="1725" spans="1:12" s="90" customFormat="1" ht="15">
      <c r="A1725" s="99" t="s">
        <v>112</v>
      </c>
      <c r="B1725" s="116" t="s">
        <v>9</v>
      </c>
      <c r="C1725" s="106"/>
      <c r="D1725" s="106"/>
      <c r="E1725" s="106"/>
      <c r="F1725" s="599"/>
      <c r="G1725" s="99" t="s">
        <v>113</v>
      </c>
      <c r="H1725" s="116" t="s">
        <v>83</v>
      </c>
      <c r="I1725" s="106"/>
      <c r="J1725" s="106"/>
      <c r="K1725" s="106"/>
      <c r="L1725" s="599"/>
    </row>
    <row r="1726" spans="1:12" s="90" customFormat="1" ht="15">
      <c r="A1726" s="99" t="s">
        <v>113</v>
      </c>
      <c r="B1726" s="116" t="s">
        <v>170</v>
      </c>
      <c r="C1726" s="106"/>
      <c r="D1726" s="106"/>
      <c r="E1726" s="106"/>
      <c r="F1726" s="599"/>
      <c r="G1726" s="99" t="s">
        <v>114</v>
      </c>
      <c r="H1726" s="116" t="s">
        <v>84</v>
      </c>
      <c r="I1726" s="106"/>
      <c r="J1726" s="106"/>
      <c r="K1726" s="106"/>
      <c r="L1726" s="599"/>
    </row>
    <row r="1727" spans="1:12" s="90" customFormat="1" ht="15">
      <c r="A1727" s="99" t="s">
        <v>114</v>
      </c>
      <c r="B1727" s="116" t="s">
        <v>181</v>
      </c>
      <c r="C1727" s="106"/>
      <c r="D1727" s="106"/>
      <c r="E1727" s="106"/>
      <c r="F1727" s="599"/>
      <c r="G1727" s="99" t="s">
        <v>115</v>
      </c>
      <c r="H1727" s="116" t="s">
        <v>211</v>
      </c>
      <c r="I1727" s="106"/>
      <c r="J1727" s="106"/>
      <c r="K1727" s="106"/>
      <c r="L1727" s="599"/>
    </row>
    <row r="1728" spans="1:12" s="90" customFormat="1" ht="15">
      <c r="A1728" s="112" t="s">
        <v>45</v>
      </c>
      <c r="B1728" s="100" t="s">
        <v>118</v>
      </c>
      <c r="C1728" s="101"/>
      <c r="D1728" s="101"/>
      <c r="E1728" s="101"/>
      <c r="F1728" s="102"/>
      <c r="G1728" s="112" t="s">
        <v>45</v>
      </c>
      <c r="H1728" s="100" t="s">
        <v>130</v>
      </c>
      <c r="I1728" s="101"/>
      <c r="J1728" s="101"/>
      <c r="K1728" s="101"/>
      <c r="L1728" s="102"/>
    </row>
    <row r="1729" spans="1:12" s="90" customFormat="1" ht="15">
      <c r="A1729" s="112" t="s">
        <v>111</v>
      </c>
      <c r="B1729" s="100" t="s">
        <v>106</v>
      </c>
      <c r="C1729" s="106"/>
      <c r="D1729" s="106"/>
      <c r="E1729" s="106"/>
      <c r="F1729" s="599"/>
      <c r="G1729" s="112" t="s">
        <v>111</v>
      </c>
      <c r="H1729" s="100" t="s">
        <v>131</v>
      </c>
      <c r="I1729" s="106"/>
      <c r="J1729" s="106"/>
      <c r="K1729" s="106"/>
      <c r="L1729" s="599"/>
    </row>
    <row r="1730" spans="1:12" s="90" customFormat="1" ht="15">
      <c r="A1730" s="112" t="s">
        <v>112</v>
      </c>
      <c r="B1730" s="100" t="s">
        <v>39</v>
      </c>
      <c r="C1730" s="106"/>
      <c r="D1730" s="106"/>
      <c r="E1730" s="106"/>
      <c r="F1730" s="599"/>
      <c r="G1730" s="112" t="s">
        <v>112</v>
      </c>
      <c r="H1730" s="100" t="s">
        <v>87</v>
      </c>
      <c r="I1730" s="106"/>
      <c r="J1730" s="106"/>
      <c r="K1730" s="106"/>
      <c r="L1730" s="599"/>
    </row>
    <row r="1731" spans="1:12" s="90" customFormat="1" ht="15">
      <c r="A1731" s="112" t="s">
        <v>113</v>
      </c>
      <c r="B1731" s="100" t="s">
        <v>201</v>
      </c>
      <c r="C1731" s="106"/>
      <c r="D1731" s="106"/>
      <c r="E1731" s="106"/>
      <c r="F1731" s="599"/>
      <c r="G1731" s="112" t="s">
        <v>113</v>
      </c>
      <c r="H1731" s="100" t="s">
        <v>90</v>
      </c>
      <c r="I1731" s="106"/>
      <c r="J1731" s="106"/>
      <c r="K1731" s="106"/>
      <c r="L1731" s="599"/>
    </row>
    <row r="1732" spans="1:12" s="90" customFormat="1" ht="15">
      <c r="A1732" s="112" t="s">
        <v>56</v>
      </c>
      <c r="B1732" s="100" t="s">
        <v>126</v>
      </c>
      <c r="C1732" s="101"/>
      <c r="D1732" s="101"/>
      <c r="E1732" s="101"/>
      <c r="F1732" s="102"/>
      <c r="G1732" s="112" t="s">
        <v>56</v>
      </c>
      <c r="H1732" s="100" t="s">
        <v>132</v>
      </c>
      <c r="I1732" s="101"/>
      <c r="J1732" s="101"/>
      <c r="K1732" s="101"/>
      <c r="L1732" s="102"/>
    </row>
    <row r="1733" spans="1:12" s="90" customFormat="1" ht="15">
      <c r="A1733" s="99" t="s">
        <v>64</v>
      </c>
      <c r="B1733" s="116" t="s">
        <v>127</v>
      </c>
      <c r="C1733" s="101"/>
      <c r="D1733" s="101"/>
      <c r="E1733" s="101"/>
      <c r="F1733" s="102"/>
      <c r="G1733" s="99" t="s">
        <v>64</v>
      </c>
      <c r="H1733" s="116" t="s">
        <v>133</v>
      </c>
      <c r="I1733" s="101"/>
      <c r="J1733" s="101"/>
      <c r="K1733" s="101"/>
      <c r="L1733" s="102"/>
    </row>
    <row r="1734" spans="1:12" s="90" customFormat="1" ht="15.75" thickBot="1">
      <c r="A1734" s="117"/>
      <c r="B1734" s="118" t="s">
        <v>148</v>
      </c>
      <c r="C1734" s="88">
        <f>+C1722+C1728+C1732+C1733</f>
        <v>17056750</v>
      </c>
      <c r="D1734" s="88">
        <f>+D1722+D1728+D1732+D1733</f>
        <v>17056750</v>
      </c>
      <c r="E1734" s="88">
        <f>+E1722+E1728+E1732+E1733</f>
        <v>15459562</v>
      </c>
      <c r="F1734" s="119">
        <f>+E1734/D1734</f>
        <v>0.906360355870843</v>
      </c>
      <c r="G1734" s="117"/>
      <c r="H1734" s="118" t="s">
        <v>149</v>
      </c>
      <c r="I1734" s="88">
        <f>+I1733+I1732+I1728+I1722</f>
        <v>17056750</v>
      </c>
      <c r="J1734" s="88">
        <f>+J1733+J1732+J1728+J1722</f>
        <v>17056750</v>
      </c>
      <c r="K1734" s="88">
        <f>+K1733+K1732+K1728+K1722</f>
        <v>6317021</v>
      </c>
      <c r="L1734" s="119">
        <f>+K1734/J1734</f>
        <v>0.37035314464947894</v>
      </c>
    </row>
    <row r="1735" spans="1:12" s="90" customFormat="1" ht="15">
      <c r="A1735" s="124"/>
      <c r="B1735" s="124"/>
      <c r="C1735" s="93"/>
      <c r="D1735" s="93"/>
      <c r="E1735" s="93"/>
      <c r="F1735" s="93"/>
      <c r="G1735" s="124"/>
      <c r="H1735" s="124"/>
      <c r="I1735" s="93"/>
      <c r="J1735" s="93"/>
      <c r="K1735" s="93"/>
      <c r="L1735" s="93"/>
    </row>
    <row r="1736" spans="1:12" s="90" customFormat="1" ht="15.75" thickBot="1">
      <c r="A1736" s="90" t="s">
        <v>856</v>
      </c>
      <c r="B1736" s="124"/>
      <c r="C1736" s="93"/>
      <c r="D1736" s="93"/>
      <c r="E1736" s="93"/>
      <c r="F1736" s="93"/>
      <c r="G1736" s="124"/>
      <c r="H1736" s="124"/>
      <c r="I1736" s="595"/>
      <c r="J1736" s="595"/>
      <c r="K1736" s="93"/>
      <c r="L1736" s="93" t="s">
        <v>216</v>
      </c>
    </row>
    <row r="1737" spans="1:12" s="90" customFormat="1" ht="28.5">
      <c r="A1737" s="96"/>
      <c r="B1737" s="97" t="s">
        <v>104</v>
      </c>
      <c r="C1737" s="86" t="s">
        <v>227</v>
      </c>
      <c r="D1737" s="86" t="s">
        <v>844</v>
      </c>
      <c r="E1737" s="86" t="s">
        <v>303</v>
      </c>
      <c r="F1737" s="87" t="s">
        <v>304</v>
      </c>
      <c r="G1737" s="96">
        <v>151</v>
      </c>
      <c r="H1737" s="97" t="s">
        <v>105</v>
      </c>
      <c r="I1737" s="86" t="s">
        <v>227</v>
      </c>
      <c r="J1737" s="86" t="s">
        <v>844</v>
      </c>
      <c r="K1737" s="86" t="s">
        <v>303</v>
      </c>
      <c r="L1737" s="87" t="s">
        <v>304</v>
      </c>
    </row>
    <row r="1738" spans="1:12" s="90" customFormat="1" ht="15">
      <c r="A1738" s="99" t="s">
        <v>23</v>
      </c>
      <c r="B1738" s="100" t="s">
        <v>108</v>
      </c>
      <c r="C1738" s="101">
        <f>+C1739+C1741+C1742+C1743</f>
        <v>6111245</v>
      </c>
      <c r="D1738" s="101">
        <f>+D1739+D1741+D1742+D1743</f>
        <v>6111245</v>
      </c>
      <c r="E1738" s="101">
        <f>+E1739+E1741+E1742+E1743</f>
        <v>5913162</v>
      </c>
      <c r="F1738" s="102">
        <f>+E1738/D1738</f>
        <v>0.9675871283183705</v>
      </c>
      <c r="G1738" s="99" t="s">
        <v>23</v>
      </c>
      <c r="H1738" s="100" t="s">
        <v>129</v>
      </c>
      <c r="I1738" s="101">
        <f>SUM(I1739:I1743)</f>
        <v>6111245</v>
      </c>
      <c r="J1738" s="101">
        <f>SUM(J1739:J1743)</f>
        <v>6111245</v>
      </c>
      <c r="K1738" s="101">
        <f>SUM(K1739:K1743)</f>
        <v>1342847</v>
      </c>
      <c r="L1738" s="102">
        <f>+K1738/J1738</f>
        <v>0.2197337858325104</v>
      </c>
    </row>
    <row r="1739" spans="1:12" s="90" customFormat="1" ht="15">
      <c r="A1739" s="99" t="s">
        <v>111</v>
      </c>
      <c r="B1739" s="116" t="s">
        <v>209</v>
      </c>
      <c r="C1739" s="106">
        <f>C1740</f>
        <v>6111245</v>
      </c>
      <c r="D1739" s="106">
        <f>D1740</f>
        <v>6111245</v>
      </c>
      <c r="E1739" s="106">
        <f>E1740</f>
        <v>5913162</v>
      </c>
      <c r="F1739" s="599">
        <f>+E1739/D1739</f>
        <v>0.9675871283183705</v>
      </c>
      <c r="G1739" s="99" t="s">
        <v>111</v>
      </c>
      <c r="H1739" s="116" t="s">
        <v>80</v>
      </c>
      <c r="I1739" s="106">
        <v>5045958</v>
      </c>
      <c r="J1739" s="106">
        <v>5045958</v>
      </c>
      <c r="K1739" s="106">
        <v>1117022</v>
      </c>
      <c r="L1739" s="599">
        <f>+K1739/J1739</f>
        <v>0.22136965864559316</v>
      </c>
    </row>
    <row r="1740" spans="1:12" s="90" customFormat="1" ht="15">
      <c r="A1740" s="99"/>
      <c r="B1740" s="116" t="s">
        <v>210</v>
      </c>
      <c r="C1740" s="106">
        <v>6111245</v>
      </c>
      <c r="D1740" s="106">
        <v>6111245</v>
      </c>
      <c r="E1740" s="106">
        <v>5913162</v>
      </c>
      <c r="F1740" s="599">
        <f>+E1740/D1740</f>
        <v>0.9675871283183705</v>
      </c>
      <c r="G1740" s="99" t="s">
        <v>112</v>
      </c>
      <c r="H1740" s="116" t="s">
        <v>147</v>
      </c>
      <c r="I1740" s="106">
        <v>883042</v>
      </c>
      <c r="J1740" s="106">
        <v>883042</v>
      </c>
      <c r="K1740" s="106">
        <v>166389</v>
      </c>
      <c r="L1740" s="599">
        <f>+K1740/J1740</f>
        <v>0.18842705103494511</v>
      </c>
    </row>
    <row r="1741" spans="1:12" s="90" customFormat="1" ht="15">
      <c r="A1741" s="99" t="s">
        <v>112</v>
      </c>
      <c r="B1741" s="116" t="s">
        <v>9</v>
      </c>
      <c r="C1741" s="106"/>
      <c r="D1741" s="106"/>
      <c r="E1741" s="106"/>
      <c r="F1741" s="599"/>
      <c r="G1741" s="99" t="s">
        <v>113</v>
      </c>
      <c r="H1741" s="116" t="s">
        <v>83</v>
      </c>
      <c r="I1741" s="106">
        <v>182245</v>
      </c>
      <c r="J1741" s="106">
        <v>182245</v>
      </c>
      <c r="K1741" s="106">
        <v>59436</v>
      </c>
      <c r="L1741" s="599">
        <f>+K1741/J1741</f>
        <v>0.32613240418118467</v>
      </c>
    </row>
    <row r="1742" spans="1:12" s="90" customFormat="1" ht="15">
      <c r="A1742" s="99" t="s">
        <v>113</v>
      </c>
      <c r="B1742" s="116" t="s">
        <v>170</v>
      </c>
      <c r="C1742" s="106"/>
      <c r="D1742" s="106"/>
      <c r="E1742" s="106"/>
      <c r="F1742" s="599"/>
      <c r="G1742" s="99" t="s">
        <v>114</v>
      </c>
      <c r="H1742" s="116" t="s">
        <v>84</v>
      </c>
      <c r="I1742" s="106"/>
      <c r="J1742" s="106"/>
      <c r="K1742" s="106"/>
      <c r="L1742" s="599"/>
    </row>
    <row r="1743" spans="1:12" s="90" customFormat="1" ht="15">
      <c r="A1743" s="99" t="s">
        <v>114</v>
      </c>
      <c r="B1743" s="116" t="s">
        <v>181</v>
      </c>
      <c r="C1743" s="106"/>
      <c r="D1743" s="106"/>
      <c r="E1743" s="106"/>
      <c r="F1743" s="599"/>
      <c r="G1743" s="99" t="s">
        <v>115</v>
      </c>
      <c r="H1743" s="116" t="s">
        <v>211</v>
      </c>
      <c r="I1743" s="106"/>
      <c r="J1743" s="106"/>
      <c r="K1743" s="106"/>
      <c r="L1743" s="599"/>
    </row>
    <row r="1744" spans="1:12" s="90" customFormat="1" ht="15">
      <c r="A1744" s="112" t="s">
        <v>45</v>
      </c>
      <c r="B1744" s="100" t="s">
        <v>118</v>
      </c>
      <c r="C1744" s="101"/>
      <c r="D1744" s="101"/>
      <c r="E1744" s="101"/>
      <c r="F1744" s="102"/>
      <c r="G1744" s="112" t="s">
        <v>45</v>
      </c>
      <c r="H1744" s="100" t="s">
        <v>130</v>
      </c>
      <c r="I1744" s="101"/>
      <c r="J1744" s="101"/>
      <c r="K1744" s="101"/>
      <c r="L1744" s="102"/>
    </row>
    <row r="1745" spans="1:12" s="90" customFormat="1" ht="15">
      <c r="A1745" s="112" t="s">
        <v>111</v>
      </c>
      <c r="B1745" s="100" t="s">
        <v>106</v>
      </c>
      <c r="C1745" s="106"/>
      <c r="D1745" s="106"/>
      <c r="E1745" s="106"/>
      <c r="F1745" s="599"/>
      <c r="G1745" s="112" t="s">
        <v>111</v>
      </c>
      <c r="H1745" s="100" t="s">
        <v>131</v>
      </c>
      <c r="I1745" s="106"/>
      <c r="J1745" s="106"/>
      <c r="K1745" s="106"/>
      <c r="L1745" s="599"/>
    </row>
    <row r="1746" spans="1:12" s="90" customFormat="1" ht="15">
      <c r="A1746" s="112" t="s">
        <v>112</v>
      </c>
      <c r="B1746" s="100" t="s">
        <v>39</v>
      </c>
      <c r="C1746" s="106"/>
      <c r="D1746" s="106"/>
      <c r="E1746" s="106"/>
      <c r="F1746" s="599"/>
      <c r="G1746" s="112" t="s">
        <v>112</v>
      </c>
      <c r="H1746" s="100" t="s">
        <v>87</v>
      </c>
      <c r="I1746" s="106"/>
      <c r="J1746" s="106"/>
      <c r="K1746" s="106"/>
      <c r="L1746" s="599"/>
    </row>
    <row r="1747" spans="1:12" s="90" customFormat="1" ht="15">
      <c r="A1747" s="112" t="s">
        <v>113</v>
      </c>
      <c r="B1747" s="100" t="s">
        <v>201</v>
      </c>
      <c r="C1747" s="106"/>
      <c r="D1747" s="106"/>
      <c r="E1747" s="106"/>
      <c r="F1747" s="599"/>
      <c r="G1747" s="112" t="s">
        <v>113</v>
      </c>
      <c r="H1747" s="100" t="s">
        <v>90</v>
      </c>
      <c r="I1747" s="106"/>
      <c r="J1747" s="106"/>
      <c r="K1747" s="106"/>
      <c r="L1747" s="599"/>
    </row>
    <row r="1748" spans="1:12" s="90" customFormat="1" ht="15">
      <c r="A1748" s="112" t="s">
        <v>56</v>
      </c>
      <c r="B1748" s="100" t="s">
        <v>126</v>
      </c>
      <c r="C1748" s="101"/>
      <c r="D1748" s="101"/>
      <c r="E1748" s="101"/>
      <c r="F1748" s="102"/>
      <c r="G1748" s="112" t="s">
        <v>56</v>
      </c>
      <c r="H1748" s="100" t="s">
        <v>132</v>
      </c>
      <c r="I1748" s="101"/>
      <c r="J1748" s="101"/>
      <c r="K1748" s="101"/>
      <c r="L1748" s="102"/>
    </row>
    <row r="1749" spans="1:12" s="90" customFormat="1" ht="15">
      <c r="A1749" s="99" t="s">
        <v>64</v>
      </c>
      <c r="B1749" s="116" t="s">
        <v>127</v>
      </c>
      <c r="C1749" s="101"/>
      <c r="D1749" s="101"/>
      <c r="E1749" s="101"/>
      <c r="F1749" s="102"/>
      <c r="G1749" s="99" t="s">
        <v>64</v>
      </c>
      <c r="H1749" s="116" t="s">
        <v>133</v>
      </c>
      <c r="I1749" s="101"/>
      <c r="J1749" s="101"/>
      <c r="K1749" s="101"/>
      <c r="L1749" s="102"/>
    </row>
    <row r="1750" spans="1:12" s="90" customFormat="1" ht="15.75" thickBot="1">
      <c r="A1750" s="117"/>
      <c r="B1750" s="118" t="s">
        <v>148</v>
      </c>
      <c r="C1750" s="88">
        <f>+C1738+C1744+C1748+C1749</f>
        <v>6111245</v>
      </c>
      <c r="D1750" s="88">
        <f>+D1738+D1744+D1748+D1749</f>
        <v>6111245</v>
      </c>
      <c r="E1750" s="88">
        <f>+E1738+E1744+E1748+E1749</f>
        <v>5913162</v>
      </c>
      <c r="F1750" s="119">
        <f>+E1750/D1750</f>
        <v>0.9675871283183705</v>
      </c>
      <c r="G1750" s="117"/>
      <c r="H1750" s="118" t="s">
        <v>149</v>
      </c>
      <c r="I1750" s="88">
        <f>+I1749+I1748+I1744+I1738</f>
        <v>6111245</v>
      </c>
      <c r="J1750" s="88">
        <f>+J1749+J1748+J1744+J1738</f>
        <v>6111245</v>
      </c>
      <c r="K1750" s="88">
        <f>+K1749+K1748+K1744+K1738</f>
        <v>1342847</v>
      </c>
      <c r="L1750" s="119">
        <f>+K1750/J1750</f>
        <v>0.2197337858325104</v>
      </c>
    </row>
    <row r="1751" spans="1:12" s="90" customFormat="1" ht="15">
      <c r="A1751" s="124"/>
      <c r="B1751" s="124"/>
      <c r="C1751" s="93"/>
      <c r="D1751" s="93"/>
      <c r="E1751" s="93"/>
      <c r="F1751" s="93"/>
      <c r="G1751" s="124"/>
      <c r="H1751" s="124"/>
      <c r="I1751" s="93"/>
      <c r="J1751" s="93"/>
      <c r="K1751" s="93"/>
      <c r="L1751" s="93"/>
    </row>
    <row r="1752" spans="1:12" s="90" customFormat="1" ht="15.75" thickBot="1">
      <c r="A1752" s="90" t="s">
        <v>857</v>
      </c>
      <c r="B1752" s="124"/>
      <c r="C1752" s="93"/>
      <c r="D1752" s="93"/>
      <c r="E1752" s="93"/>
      <c r="F1752" s="93"/>
      <c r="G1752" s="124"/>
      <c r="H1752" s="124"/>
      <c r="I1752" s="595"/>
      <c r="J1752" s="595"/>
      <c r="K1752" s="93"/>
      <c r="L1752" s="596" t="s">
        <v>216</v>
      </c>
    </row>
    <row r="1753" spans="1:12" s="90" customFormat="1" ht="28.5">
      <c r="A1753" s="96"/>
      <c r="B1753" s="97" t="s">
        <v>104</v>
      </c>
      <c r="C1753" s="86" t="s">
        <v>227</v>
      </c>
      <c r="D1753" s="86" t="s">
        <v>844</v>
      </c>
      <c r="E1753" s="86" t="s">
        <v>303</v>
      </c>
      <c r="F1753" s="87" t="s">
        <v>304</v>
      </c>
      <c r="G1753" s="96">
        <v>154</v>
      </c>
      <c r="H1753" s="97" t="s">
        <v>105</v>
      </c>
      <c r="I1753" s="86" t="s">
        <v>227</v>
      </c>
      <c r="J1753" s="86" t="s">
        <v>844</v>
      </c>
      <c r="K1753" s="86" t="s">
        <v>303</v>
      </c>
      <c r="L1753" s="87" t="s">
        <v>304</v>
      </c>
    </row>
    <row r="1754" spans="1:12" s="90" customFormat="1" ht="15">
      <c r="A1754" s="99" t="s">
        <v>23</v>
      </c>
      <c r="B1754" s="100" t="s">
        <v>108</v>
      </c>
      <c r="C1754" s="101">
        <f>+C1755+C1757+C1758+C1759</f>
        <v>1333500</v>
      </c>
      <c r="D1754" s="101">
        <f>+D1755+D1757+D1758+D1759</f>
        <v>1333500</v>
      </c>
      <c r="E1754" s="101">
        <f>+E1755+E1757+E1758+E1759</f>
        <v>1333500</v>
      </c>
      <c r="F1754" s="102">
        <f>+E1754/D1754</f>
        <v>1</v>
      </c>
      <c r="G1754" s="99" t="s">
        <v>23</v>
      </c>
      <c r="H1754" s="100" t="s">
        <v>129</v>
      </c>
      <c r="I1754" s="101">
        <f>SUM(I1755:I1759)</f>
        <v>1333500</v>
      </c>
      <c r="J1754" s="101">
        <f>SUM(J1755:J1759)</f>
        <v>1333500</v>
      </c>
      <c r="K1754" s="101">
        <f>SUM(K1755:K1759)</f>
        <v>0</v>
      </c>
      <c r="L1754" s="102">
        <f>+K1754/J1754</f>
        <v>0</v>
      </c>
    </row>
    <row r="1755" spans="1:12" s="90" customFormat="1" ht="15">
      <c r="A1755" s="99" t="s">
        <v>111</v>
      </c>
      <c r="B1755" s="116" t="s">
        <v>209</v>
      </c>
      <c r="C1755" s="106">
        <f>C1756</f>
        <v>1333500</v>
      </c>
      <c r="D1755" s="106">
        <f>D1756</f>
        <v>1333500</v>
      </c>
      <c r="E1755" s="106">
        <f>E1756</f>
        <v>1333500</v>
      </c>
      <c r="F1755" s="599">
        <f>+E1755/D1755</f>
        <v>1</v>
      </c>
      <c r="G1755" s="99" t="s">
        <v>111</v>
      </c>
      <c r="H1755" s="116" t="s">
        <v>80</v>
      </c>
      <c r="I1755" s="106">
        <v>1134894</v>
      </c>
      <c r="J1755" s="106">
        <v>1134894</v>
      </c>
      <c r="K1755" s="106">
        <v>0</v>
      </c>
      <c r="L1755" s="599">
        <f>+K1755/J1755</f>
        <v>0</v>
      </c>
    </row>
    <row r="1756" spans="1:12" s="90" customFormat="1" ht="15">
      <c r="A1756" s="99"/>
      <c r="B1756" s="116" t="s">
        <v>210</v>
      </c>
      <c r="C1756" s="106">
        <v>1333500</v>
      </c>
      <c r="D1756" s="106">
        <v>1333500</v>
      </c>
      <c r="E1756" s="106">
        <v>1333500</v>
      </c>
      <c r="F1756" s="599">
        <f>+E1756/D1756</f>
        <v>1</v>
      </c>
      <c r="G1756" s="99" t="s">
        <v>112</v>
      </c>
      <c r="H1756" s="116" t="s">
        <v>147</v>
      </c>
      <c r="I1756" s="106">
        <v>198606</v>
      </c>
      <c r="J1756" s="106">
        <v>198606</v>
      </c>
      <c r="K1756" s="106">
        <v>0</v>
      </c>
      <c r="L1756" s="599">
        <f>+K1756/J1756</f>
        <v>0</v>
      </c>
    </row>
    <row r="1757" spans="1:12" s="90" customFormat="1" ht="15">
      <c r="A1757" s="99" t="s">
        <v>112</v>
      </c>
      <c r="B1757" s="116" t="s">
        <v>9</v>
      </c>
      <c r="C1757" s="106"/>
      <c r="D1757" s="106"/>
      <c r="E1757" s="106"/>
      <c r="F1757" s="599"/>
      <c r="G1757" s="99" t="s">
        <v>113</v>
      </c>
      <c r="H1757" s="116" t="s">
        <v>83</v>
      </c>
      <c r="I1757" s="106"/>
      <c r="J1757" s="106"/>
      <c r="K1757" s="106"/>
      <c r="L1757" s="599"/>
    </row>
    <row r="1758" spans="1:12" s="90" customFormat="1" ht="15">
      <c r="A1758" s="99" t="s">
        <v>113</v>
      </c>
      <c r="B1758" s="116" t="s">
        <v>170</v>
      </c>
      <c r="C1758" s="106"/>
      <c r="D1758" s="106"/>
      <c r="E1758" s="106"/>
      <c r="F1758" s="599"/>
      <c r="G1758" s="99" t="s">
        <v>114</v>
      </c>
      <c r="H1758" s="116" t="s">
        <v>84</v>
      </c>
      <c r="I1758" s="106"/>
      <c r="J1758" s="106"/>
      <c r="K1758" s="106"/>
      <c r="L1758" s="599"/>
    </row>
    <row r="1759" spans="1:12" s="90" customFormat="1" ht="15">
      <c r="A1759" s="99" t="s">
        <v>114</v>
      </c>
      <c r="B1759" s="116" t="s">
        <v>181</v>
      </c>
      <c r="C1759" s="106"/>
      <c r="D1759" s="106"/>
      <c r="E1759" s="106"/>
      <c r="F1759" s="599"/>
      <c r="G1759" s="99" t="s">
        <v>115</v>
      </c>
      <c r="H1759" s="116" t="s">
        <v>211</v>
      </c>
      <c r="I1759" s="106"/>
      <c r="J1759" s="106"/>
      <c r="K1759" s="106"/>
      <c r="L1759" s="599"/>
    </row>
    <row r="1760" spans="1:12" s="90" customFormat="1" ht="15">
      <c r="A1760" s="112" t="s">
        <v>45</v>
      </c>
      <c r="B1760" s="100" t="s">
        <v>118</v>
      </c>
      <c r="C1760" s="101"/>
      <c r="D1760" s="101"/>
      <c r="E1760" s="101"/>
      <c r="F1760" s="102"/>
      <c r="G1760" s="112" t="s">
        <v>45</v>
      </c>
      <c r="H1760" s="100" t="s">
        <v>130</v>
      </c>
      <c r="I1760" s="101"/>
      <c r="J1760" s="101"/>
      <c r="K1760" s="101"/>
      <c r="L1760" s="102"/>
    </row>
    <row r="1761" spans="1:12" s="90" customFormat="1" ht="15">
      <c r="A1761" s="112" t="s">
        <v>111</v>
      </c>
      <c r="B1761" s="100" t="s">
        <v>106</v>
      </c>
      <c r="C1761" s="106"/>
      <c r="D1761" s="106"/>
      <c r="E1761" s="106"/>
      <c r="F1761" s="599"/>
      <c r="G1761" s="112" t="s">
        <v>111</v>
      </c>
      <c r="H1761" s="100" t="s">
        <v>131</v>
      </c>
      <c r="I1761" s="106"/>
      <c r="J1761" s="106"/>
      <c r="K1761" s="106"/>
      <c r="L1761" s="599"/>
    </row>
    <row r="1762" spans="1:12" s="90" customFormat="1" ht="15">
      <c r="A1762" s="112" t="s">
        <v>112</v>
      </c>
      <c r="B1762" s="100" t="s">
        <v>39</v>
      </c>
      <c r="C1762" s="106"/>
      <c r="D1762" s="106"/>
      <c r="E1762" s="106"/>
      <c r="F1762" s="599"/>
      <c r="G1762" s="112" t="s">
        <v>112</v>
      </c>
      <c r="H1762" s="100" t="s">
        <v>87</v>
      </c>
      <c r="I1762" s="106"/>
      <c r="J1762" s="106"/>
      <c r="K1762" s="106"/>
      <c r="L1762" s="599"/>
    </row>
    <row r="1763" spans="1:12" s="90" customFormat="1" ht="15">
      <c r="A1763" s="112" t="s">
        <v>113</v>
      </c>
      <c r="B1763" s="100" t="s">
        <v>201</v>
      </c>
      <c r="C1763" s="106"/>
      <c r="D1763" s="106"/>
      <c r="E1763" s="106"/>
      <c r="F1763" s="599"/>
      <c r="G1763" s="112" t="s">
        <v>113</v>
      </c>
      <c r="H1763" s="100" t="s">
        <v>90</v>
      </c>
      <c r="I1763" s="106"/>
      <c r="J1763" s="106"/>
      <c r="K1763" s="106"/>
      <c r="L1763" s="599"/>
    </row>
    <row r="1764" spans="1:12" s="90" customFormat="1" ht="15">
      <c r="A1764" s="112" t="s">
        <v>56</v>
      </c>
      <c r="B1764" s="100" t="s">
        <v>126</v>
      </c>
      <c r="C1764" s="101"/>
      <c r="D1764" s="101"/>
      <c r="E1764" s="101"/>
      <c r="F1764" s="102"/>
      <c r="G1764" s="112" t="s">
        <v>56</v>
      </c>
      <c r="H1764" s="100" t="s">
        <v>132</v>
      </c>
      <c r="I1764" s="101"/>
      <c r="J1764" s="101"/>
      <c r="K1764" s="101"/>
      <c r="L1764" s="102"/>
    </row>
    <row r="1765" spans="1:12" s="90" customFormat="1" ht="15">
      <c r="A1765" s="99" t="s">
        <v>64</v>
      </c>
      <c r="B1765" s="116" t="s">
        <v>127</v>
      </c>
      <c r="C1765" s="101"/>
      <c r="D1765" s="101"/>
      <c r="E1765" s="101"/>
      <c r="F1765" s="102"/>
      <c r="G1765" s="99" t="s">
        <v>64</v>
      </c>
      <c r="H1765" s="116" t="s">
        <v>133</v>
      </c>
      <c r="I1765" s="101"/>
      <c r="J1765" s="101"/>
      <c r="K1765" s="101"/>
      <c r="L1765" s="102"/>
    </row>
    <row r="1766" spans="1:12" s="90" customFormat="1" ht="15.75" thickBot="1">
      <c r="A1766" s="117"/>
      <c r="B1766" s="118" t="s">
        <v>148</v>
      </c>
      <c r="C1766" s="88">
        <f>+C1754+C1760+C1764+C1765</f>
        <v>1333500</v>
      </c>
      <c r="D1766" s="88">
        <f>+D1754+D1760+D1764+D1765</f>
        <v>1333500</v>
      </c>
      <c r="E1766" s="88">
        <f>+E1754+E1760+E1764+E1765</f>
        <v>1333500</v>
      </c>
      <c r="F1766" s="119">
        <f>+E1766/D1766</f>
        <v>1</v>
      </c>
      <c r="G1766" s="117"/>
      <c r="H1766" s="118" t="s">
        <v>149</v>
      </c>
      <c r="I1766" s="88">
        <f>+I1765+I1764+I1760+I1754</f>
        <v>1333500</v>
      </c>
      <c r="J1766" s="88">
        <f>+J1765+J1764+J1760+J1754</f>
        <v>1333500</v>
      </c>
      <c r="K1766" s="88">
        <f>+K1765+K1764+K1760+K1754</f>
        <v>0</v>
      </c>
      <c r="L1766" s="119">
        <f>+K1766/J1766</f>
        <v>0</v>
      </c>
    </row>
    <row r="1767" spans="1:12" s="90" customFormat="1" ht="15">
      <c r="A1767" s="124"/>
      <c r="B1767" s="124"/>
      <c r="C1767" s="93"/>
      <c r="D1767" s="93"/>
      <c r="E1767" s="93"/>
      <c r="F1767" s="93"/>
      <c r="G1767" s="124"/>
      <c r="H1767" s="124"/>
      <c r="I1767" s="93"/>
      <c r="J1767" s="93"/>
      <c r="K1767" s="93"/>
      <c r="L1767" s="93"/>
    </row>
    <row r="1768" spans="1:12" s="90" customFormat="1" ht="15.75" thickBot="1">
      <c r="A1768" s="90" t="s">
        <v>858</v>
      </c>
      <c r="B1768" s="124"/>
      <c r="C1768" s="93"/>
      <c r="D1768" s="93"/>
      <c r="E1768" s="93"/>
      <c r="F1768" s="93"/>
      <c r="G1768" s="124"/>
      <c r="H1768" s="124"/>
      <c r="I1768" s="595"/>
      <c r="J1768" s="595"/>
      <c r="K1768" s="93"/>
      <c r="L1768" s="596" t="s">
        <v>216</v>
      </c>
    </row>
    <row r="1769" spans="1:12" s="90" customFormat="1" ht="28.5">
      <c r="A1769" s="96"/>
      <c r="B1769" s="97" t="s">
        <v>104</v>
      </c>
      <c r="C1769" s="86" t="s">
        <v>227</v>
      </c>
      <c r="D1769" s="86" t="s">
        <v>844</v>
      </c>
      <c r="E1769" s="86" t="s">
        <v>303</v>
      </c>
      <c r="F1769" s="87" t="s">
        <v>304</v>
      </c>
      <c r="G1769" s="96">
        <v>153</v>
      </c>
      <c r="H1769" s="97" t="s">
        <v>105</v>
      </c>
      <c r="I1769" s="86" t="s">
        <v>227</v>
      </c>
      <c r="J1769" s="86" t="s">
        <v>844</v>
      </c>
      <c r="K1769" s="86" t="s">
        <v>303</v>
      </c>
      <c r="L1769" s="87" t="s">
        <v>304</v>
      </c>
    </row>
    <row r="1770" spans="1:12" s="90" customFormat="1" ht="15">
      <c r="A1770" s="99" t="s">
        <v>23</v>
      </c>
      <c r="B1770" s="100" t="s">
        <v>108</v>
      </c>
      <c r="C1770" s="101">
        <f>+C1771+C1773+C1774+C1775</f>
        <v>635000</v>
      </c>
      <c r="D1770" s="101">
        <f>+D1771+D1773+D1774+D1775</f>
        <v>635000</v>
      </c>
      <c r="E1770" s="101">
        <f>+E1771+E1773+E1774+E1775</f>
        <v>635000</v>
      </c>
      <c r="F1770" s="102">
        <f>+E1770/D1770</f>
        <v>1</v>
      </c>
      <c r="G1770" s="99" t="s">
        <v>23</v>
      </c>
      <c r="H1770" s="100" t="s">
        <v>129</v>
      </c>
      <c r="I1770" s="101">
        <f>SUM(I1771:I1775)</f>
        <v>635000</v>
      </c>
      <c r="J1770" s="101">
        <f>SUM(J1771:J1775)</f>
        <v>635000</v>
      </c>
      <c r="K1770" s="101">
        <f>SUM(K1771:K1775)</f>
        <v>0</v>
      </c>
      <c r="L1770" s="102">
        <f>+K1770/J1770</f>
        <v>0</v>
      </c>
    </row>
    <row r="1771" spans="1:12" s="90" customFormat="1" ht="15">
      <c r="A1771" s="99" t="s">
        <v>111</v>
      </c>
      <c r="B1771" s="116" t="s">
        <v>209</v>
      </c>
      <c r="C1771" s="106">
        <f>C1772</f>
        <v>635000</v>
      </c>
      <c r="D1771" s="106">
        <f>D1772</f>
        <v>635000</v>
      </c>
      <c r="E1771" s="106">
        <f>E1772</f>
        <v>635000</v>
      </c>
      <c r="F1771" s="599">
        <f>+E1771/D1771</f>
        <v>1</v>
      </c>
      <c r="G1771" s="99" t="s">
        <v>111</v>
      </c>
      <c r="H1771" s="116" t="s">
        <v>80</v>
      </c>
      <c r="I1771" s="106">
        <v>540426</v>
      </c>
      <c r="J1771" s="106">
        <v>540426</v>
      </c>
      <c r="K1771" s="106">
        <v>0</v>
      </c>
      <c r="L1771" s="599">
        <f>+K1771/J1771</f>
        <v>0</v>
      </c>
    </row>
    <row r="1772" spans="1:12" s="90" customFormat="1" ht="15">
      <c r="A1772" s="99"/>
      <c r="B1772" s="116" t="s">
        <v>210</v>
      </c>
      <c r="C1772" s="106">
        <v>635000</v>
      </c>
      <c r="D1772" s="106">
        <v>635000</v>
      </c>
      <c r="E1772" s="106">
        <v>635000</v>
      </c>
      <c r="F1772" s="599">
        <f>+E1772/D1772</f>
        <v>1</v>
      </c>
      <c r="G1772" s="99" t="s">
        <v>112</v>
      </c>
      <c r="H1772" s="116" t="s">
        <v>147</v>
      </c>
      <c r="I1772" s="106">
        <v>94574</v>
      </c>
      <c r="J1772" s="106">
        <v>94574</v>
      </c>
      <c r="K1772" s="106">
        <v>0</v>
      </c>
      <c r="L1772" s="599">
        <f>+K1772/J1772</f>
        <v>0</v>
      </c>
    </row>
    <row r="1773" spans="1:12" s="90" customFormat="1" ht="15">
      <c r="A1773" s="99" t="s">
        <v>112</v>
      </c>
      <c r="B1773" s="116" t="s">
        <v>9</v>
      </c>
      <c r="C1773" s="106"/>
      <c r="D1773" s="106"/>
      <c r="E1773" s="106"/>
      <c r="F1773" s="599"/>
      <c r="G1773" s="99" t="s">
        <v>113</v>
      </c>
      <c r="H1773" s="116" t="s">
        <v>83</v>
      </c>
      <c r="I1773" s="106"/>
      <c r="J1773" s="106"/>
      <c r="K1773" s="106"/>
      <c r="L1773" s="599"/>
    </row>
    <row r="1774" spans="1:12" s="90" customFormat="1" ht="15">
      <c r="A1774" s="99" t="s">
        <v>113</v>
      </c>
      <c r="B1774" s="116" t="s">
        <v>170</v>
      </c>
      <c r="C1774" s="106"/>
      <c r="D1774" s="106"/>
      <c r="E1774" s="106"/>
      <c r="F1774" s="599"/>
      <c r="G1774" s="99" t="s">
        <v>114</v>
      </c>
      <c r="H1774" s="116" t="s">
        <v>84</v>
      </c>
      <c r="I1774" s="106"/>
      <c r="J1774" s="106"/>
      <c r="K1774" s="106"/>
      <c r="L1774" s="599"/>
    </row>
    <row r="1775" spans="1:12" s="90" customFormat="1" ht="15">
      <c r="A1775" s="99" t="s">
        <v>114</v>
      </c>
      <c r="B1775" s="116" t="s">
        <v>181</v>
      </c>
      <c r="C1775" s="106"/>
      <c r="D1775" s="106"/>
      <c r="E1775" s="106"/>
      <c r="F1775" s="599"/>
      <c r="G1775" s="99" t="s">
        <v>115</v>
      </c>
      <c r="H1775" s="116" t="s">
        <v>211</v>
      </c>
      <c r="I1775" s="106"/>
      <c r="J1775" s="106"/>
      <c r="K1775" s="106"/>
      <c r="L1775" s="599"/>
    </row>
    <row r="1776" spans="1:12" s="90" customFormat="1" ht="15">
      <c r="A1776" s="112" t="s">
        <v>45</v>
      </c>
      <c r="B1776" s="100" t="s">
        <v>118</v>
      </c>
      <c r="C1776" s="101"/>
      <c r="D1776" s="101"/>
      <c r="E1776" s="101"/>
      <c r="F1776" s="102"/>
      <c r="G1776" s="112" t="s">
        <v>45</v>
      </c>
      <c r="H1776" s="100" t="s">
        <v>130</v>
      </c>
      <c r="I1776" s="101"/>
      <c r="J1776" s="101"/>
      <c r="K1776" s="101"/>
      <c r="L1776" s="102"/>
    </row>
    <row r="1777" spans="1:12" s="90" customFormat="1" ht="15">
      <c r="A1777" s="112" t="s">
        <v>111</v>
      </c>
      <c r="B1777" s="100" t="s">
        <v>106</v>
      </c>
      <c r="C1777" s="106"/>
      <c r="D1777" s="106"/>
      <c r="E1777" s="106"/>
      <c r="F1777" s="599"/>
      <c r="G1777" s="112" t="s">
        <v>111</v>
      </c>
      <c r="H1777" s="100" t="s">
        <v>131</v>
      </c>
      <c r="I1777" s="106"/>
      <c r="J1777" s="106"/>
      <c r="K1777" s="106"/>
      <c r="L1777" s="599"/>
    </row>
    <row r="1778" spans="1:12" s="90" customFormat="1" ht="15">
      <c r="A1778" s="112" t="s">
        <v>112</v>
      </c>
      <c r="B1778" s="100" t="s">
        <v>39</v>
      </c>
      <c r="C1778" s="106"/>
      <c r="D1778" s="106"/>
      <c r="E1778" s="106"/>
      <c r="F1778" s="599"/>
      <c r="G1778" s="112" t="s">
        <v>112</v>
      </c>
      <c r="H1778" s="100" t="s">
        <v>87</v>
      </c>
      <c r="I1778" s="106"/>
      <c r="J1778" s="106"/>
      <c r="K1778" s="106"/>
      <c r="L1778" s="599"/>
    </row>
    <row r="1779" spans="1:12" s="90" customFormat="1" ht="15">
      <c r="A1779" s="112" t="s">
        <v>113</v>
      </c>
      <c r="B1779" s="100" t="s">
        <v>201</v>
      </c>
      <c r="C1779" s="106"/>
      <c r="D1779" s="106"/>
      <c r="E1779" s="106"/>
      <c r="F1779" s="599"/>
      <c r="G1779" s="112" t="s">
        <v>113</v>
      </c>
      <c r="H1779" s="100" t="s">
        <v>90</v>
      </c>
      <c r="I1779" s="106"/>
      <c r="J1779" s="106"/>
      <c r="K1779" s="106"/>
      <c r="L1779" s="599"/>
    </row>
    <row r="1780" spans="1:12" s="90" customFormat="1" ht="15">
      <c r="A1780" s="112" t="s">
        <v>56</v>
      </c>
      <c r="B1780" s="100" t="s">
        <v>126</v>
      </c>
      <c r="C1780" s="101"/>
      <c r="D1780" s="101"/>
      <c r="E1780" s="101"/>
      <c r="F1780" s="102"/>
      <c r="G1780" s="112" t="s">
        <v>56</v>
      </c>
      <c r="H1780" s="100" t="s">
        <v>132</v>
      </c>
      <c r="I1780" s="101"/>
      <c r="J1780" s="101"/>
      <c r="K1780" s="101"/>
      <c r="L1780" s="102"/>
    </row>
    <row r="1781" spans="1:12" s="90" customFormat="1" ht="15">
      <c r="A1781" s="99" t="s">
        <v>64</v>
      </c>
      <c r="B1781" s="116" t="s">
        <v>127</v>
      </c>
      <c r="C1781" s="101"/>
      <c r="D1781" s="101"/>
      <c r="E1781" s="101"/>
      <c r="F1781" s="102"/>
      <c r="G1781" s="99" t="s">
        <v>64</v>
      </c>
      <c r="H1781" s="116" t="s">
        <v>133</v>
      </c>
      <c r="I1781" s="101"/>
      <c r="J1781" s="101"/>
      <c r="K1781" s="101"/>
      <c r="L1781" s="102"/>
    </row>
    <row r="1782" spans="1:12" s="90" customFormat="1" ht="15.75" thickBot="1">
      <c r="A1782" s="117"/>
      <c r="B1782" s="118" t="s">
        <v>148</v>
      </c>
      <c r="C1782" s="88">
        <f>+C1770+C1776+C1780+C1781</f>
        <v>635000</v>
      </c>
      <c r="D1782" s="88">
        <f>+D1770+D1776+D1780+D1781</f>
        <v>635000</v>
      </c>
      <c r="E1782" s="88">
        <f>+E1770+E1776+E1780+E1781</f>
        <v>635000</v>
      </c>
      <c r="F1782" s="119">
        <f>+E1782/D1782</f>
        <v>1</v>
      </c>
      <c r="G1782" s="117"/>
      <c r="H1782" s="118" t="s">
        <v>149</v>
      </c>
      <c r="I1782" s="88">
        <f>+I1781+I1780+I1776+I1770</f>
        <v>635000</v>
      </c>
      <c r="J1782" s="88">
        <f>+J1781+J1780+J1776+J1770</f>
        <v>635000</v>
      </c>
      <c r="K1782" s="88">
        <f>+K1781+K1780+K1776+K1770</f>
        <v>0</v>
      </c>
      <c r="L1782" s="119">
        <f>+K1782/J1782</f>
        <v>0</v>
      </c>
    </row>
    <row r="1783" spans="1:12" s="90" customFormat="1" ht="15">
      <c r="A1783" s="124"/>
      <c r="B1783" s="124"/>
      <c r="C1783" s="93"/>
      <c r="D1783" s="93"/>
      <c r="E1783" s="93"/>
      <c r="F1783" s="93"/>
      <c r="G1783" s="124"/>
      <c r="H1783" s="124"/>
      <c r="I1783" s="93"/>
      <c r="J1783" s="93"/>
      <c r="K1783" s="93"/>
      <c r="L1783" s="93"/>
    </row>
    <row r="1784" spans="1:12" s="90" customFormat="1" ht="15.75" thickBot="1">
      <c r="A1784" s="90" t="s">
        <v>859</v>
      </c>
      <c r="B1784" s="124"/>
      <c r="C1784" s="93"/>
      <c r="D1784" s="93"/>
      <c r="E1784" s="93"/>
      <c r="F1784" s="93"/>
      <c r="G1784" s="124"/>
      <c r="H1784" s="124"/>
      <c r="I1784" s="595"/>
      <c r="J1784" s="595"/>
      <c r="K1784" s="93"/>
      <c r="L1784" s="596" t="s">
        <v>216</v>
      </c>
    </row>
    <row r="1785" spans="1:12" s="90" customFormat="1" ht="28.5">
      <c r="A1785" s="96"/>
      <c r="B1785" s="97" t="s">
        <v>104</v>
      </c>
      <c r="C1785" s="86" t="s">
        <v>227</v>
      </c>
      <c r="D1785" s="86" t="s">
        <v>844</v>
      </c>
      <c r="E1785" s="86" t="s">
        <v>303</v>
      </c>
      <c r="F1785" s="87" t="s">
        <v>304</v>
      </c>
      <c r="G1785" s="96">
        <v>155</v>
      </c>
      <c r="H1785" s="97" t="s">
        <v>105</v>
      </c>
      <c r="I1785" s="86" t="s">
        <v>227</v>
      </c>
      <c r="J1785" s="86" t="s">
        <v>844</v>
      </c>
      <c r="K1785" s="86" t="s">
        <v>303</v>
      </c>
      <c r="L1785" s="87" t="s">
        <v>304</v>
      </c>
    </row>
    <row r="1786" spans="1:12" s="90" customFormat="1" ht="15">
      <c r="A1786" s="99" t="s">
        <v>23</v>
      </c>
      <c r="B1786" s="100" t="s">
        <v>108</v>
      </c>
      <c r="C1786" s="101">
        <f>+C1787+C1789+C1790+C1791</f>
        <v>8509952</v>
      </c>
      <c r="D1786" s="101">
        <f>+D1787+D1789+D1790+D1791</f>
        <v>8509952</v>
      </c>
      <c r="E1786" s="101">
        <f>+E1787+E1789+E1790+E1791</f>
        <v>8509952</v>
      </c>
      <c r="F1786" s="102">
        <f>+E1786/D1786</f>
        <v>1</v>
      </c>
      <c r="G1786" s="99" t="s">
        <v>23</v>
      </c>
      <c r="H1786" s="100" t="s">
        <v>129</v>
      </c>
      <c r="I1786" s="101">
        <f>SUM(I1787:I1791)</f>
        <v>8509952</v>
      </c>
      <c r="J1786" s="101">
        <f>SUM(J1787:J1791)</f>
        <v>8509952</v>
      </c>
      <c r="K1786" s="101">
        <f>SUM(K1787:K1791)</f>
        <v>3043589</v>
      </c>
      <c r="L1786" s="102">
        <f>+K1786/J1786</f>
        <v>0.3576505484402262</v>
      </c>
    </row>
    <row r="1787" spans="1:12" s="90" customFormat="1" ht="15">
      <c r="A1787" s="99" t="s">
        <v>111</v>
      </c>
      <c r="B1787" s="116" t="s">
        <v>209</v>
      </c>
      <c r="C1787" s="106">
        <f>C1788</f>
        <v>8509952</v>
      </c>
      <c r="D1787" s="106">
        <f>D1788</f>
        <v>8509952</v>
      </c>
      <c r="E1787" s="106">
        <f>E1788</f>
        <v>8509952</v>
      </c>
      <c r="F1787" s="599">
        <f>+E1787/D1787</f>
        <v>1</v>
      </c>
      <c r="G1787" s="99" t="s">
        <v>111</v>
      </c>
      <c r="H1787" s="116" t="s">
        <v>80</v>
      </c>
      <c r="I1787" s="106">
        <v>7367924</v>
      </c>
      <c r="J1787" s="106">
        <v>7367924</v>
      </c>
      <c r="K1787" s="106">
        <v>2597112</v>
      </c>
      <c r="L1787" s="599">
        <f>+K1787/J1787</f>
        <v>0.3524889778993377</v>
      </c>
    </row>
    <row r="1788" spans="1:12" s="90" customFormat="1" ht="15">
      <c r="A1788" s="99"/>
      <c r="B1788" s="116" t="s">
        <v>210</v>
      </c>
      <c r="C1788" s="106">
        <v>8509952</v>
      </c>
      <c r="D1788" s="106">
        <v>8509952</v>
      </c>
      <c r="E1788" s="106">
        <v>8509952</v>
      </c>
      <c r="F1788" s="599">
        <f>+E1788/D1788</f>
        <v>1</v>
      </c>
      <c r="G1788" s="99" t="s">
        <v>112</v>
      </c>
      <c r="H1788" s="116" t="s">
        <v>147</v>
      </c>
      <c r="I1788" s="106">
        <v>1142028</v>
      </c>
      <c r="J1788" s="106">
        <v>1142028</v>
      </c>
      <c r="K1788" s="106">
        <v>446477</v>
      </c>
      <c r="L1788" s="599">
        <f>+K1788/J1788</f>
        <v>0.3909510099577243</v>
      </c>
    </row>
    <row r="1789" spans="1:12" s="90" customFormat="1" ht="15">
      <c r="A1789" s="99" t="s">
        <v>112</v>
      </c>
      <c r="B1789" s="116" t="s">
        <v>9</v>
      </c>
      <c r="C1789" s="106"/>
      <c r="D1789" s="106"/>
      <c r="E1789" s="106"/>
      <c r="F1789" s="599"/>
      <c r="G1789" s="99" t="s">
        <v>113</v>
      </c>
      <c r="H1789" s="116" t="s">
        <v>83</v>
      </c>
      <c r="I1789" s="106"/>
      <c r="J1789" s="106"/>
      <c r="K1789" s="106"/>
      <c r="L1789" s="599"/>
    </row>
    <row r="1790" spans="1:12" s="90" customFormat="1" ht="15">
      <c r="A1790" s="99" t="s">
        <v>113</v>
      </c>
      <c r="B1790" s="116" t="s">
        <v>170</v>
      </c>
      <c r="C1790" s="106"/>
      <c r="D1790" s="106"/>
      <c r="E1790" s="106"/>
      <c r="F1790" s="599"/>
      <c r="G1790" s="99" t="s">
        <v>114</v>
      </c>
      <c r="H1790" s="116" t="s">
        <v>84</v>
      </c>
      <c r="I1790" s="106"/>
      <c r="J1790" s="106"/>
      <c r="K1790" s="106"/>
      <c r="L1790" s="599"/>
    </row>
    <row r="1791" spans="1:12" s="90" customFormat="1" ht="15">
      <c r="A1791" s="99" t="s">
        <v>114</v>
      </c>
      <c r="B1791" s="116" t="s">
        <v>181</v>
      </c>
      <c r="C1791" s="106"/>
      <c r="D1791" s="106"/>
      <c r="E1791" s="106"/>
      <c r="F1791" s="599"/>
      <c r="G1791" s="99" t="s">
        <v>115</v>
      </c>
      <c r="H1791" s="116" t="s">
        <v>211</v>
      </c>
      <c r="I1791" s="106"/>
      <c r="J1791" s="106"/>
      <c r="K1791" s="106"/>
      <c r="L1791" s="599"/>
    </row>
    <row r="1792" spans="1:12" s="90" customFormat="1" ht="15">
      <c r="A1792" s="112" t="s">
        <v>45</v>
      </c>
      <c r="B1792" s="100" t="s">
        <v>118</v>
      </c>
      <c r="C1792" s="101"/>
      <c r="D1792" s="101"/>
      <c r="E1792" s="101"/>
      <c r="F1792" s="102"/>
      <c r="G1792" s="112" t="s">
        <v>45</v>
      </c>
      <c r="H1792" s="100" t="s">
        <v>130</v>
      </c>
      <c r="I1792" s="101"/>
      <c r="J1792" s="101"/>
      <c r="K1792" s="101"/>
      <c r="L1792" s="102"/>
    </row>
    <row r="1793" spans="1:12" s="90" customFormat="1" ht="15">
      <c r="A1793" s="112" t="s">
        <v>111</v>
      </c>
      <c r="B1793" s="100" t="s">
        <v>106</v>
      </c>
      <c r="C1793" s="106"/>
      <c r="D1793" s="106"/>
      <c r="E1793" s="106"/>
      <c r="F1793" s="599"/>
      <c r="G1793" s="112" t="s">
        <v>111</v>
      </c>
      <c r="H1793" s="100" t="s">
        <v>131</v>
      </c>
      <c r="I1793" s="106"/>
      <c r="J1793" s="106"/>
      <c r="K1793" s="106"/>
      <c r="L1793" s="599"/>
    </row>
    <row r="1794" spans="1:12" s="90" customFormat="1" ht="15">
      <c r="A1794" s="112" t="s">
        <v>112</v>
      </c>
      <c r="B1794" s="100" t="s">
        <v>39</v>
      </c>
      <c r="C1794" s="106"/>
      <c r="D1794" s="106"/>
      <c r="E1794" s="106"/>
      <c r="F1794" s="599"/>
      <c r="G1794" s="112" t="s">
        <v>112</v>
      </c>
      <c r="H1794" s="100" t="s">
        <v>87</v>
      </c>
      <c r="I1794" s="106"/>
      <c r="J1794" s="106"/>
      <c r="K1794" s="106"/>
      <c r="L1794" s="599"/>
    </row>
    <row r="1795" spans="1:12" s="90" customFormat="1" ht="15">
      <c r="A1795" s="112" t="s">
        <v>113</v>
      </c>
      <c r="B1795" s="100" t="s">
        <v>201</v>
      </c>
      <c r="C1795" s="106"/>
      <c r="D1795" s="106"/>
      <c r="E1795" s="106"/>
      <c r="F1795" s="599"/>
      <c r="G1795" s="112" t="s">
        <v>113</v>
      </c>
      <c r="H1795" s="100" t="s">
        <v>90</v>
      </c>
      <c r="I1795" s="106"/>
      <c r="J1795" s="106"/>
      <c r="K1795" s="106"/>
      <c r="L1795" s="599"/>
    </row>
    <row r="1796" spans="1:12" s="90" customFormat="1" ht="15">
      <c r="A1796" s="112" t="s">
        <v>56</v>
      </c>
      <c r="B1796" s="100" t="s">
        <v>126</v>
      </c>
      <c r="C1796" s="101"/>
      <c r="D1796" s="101"/>
      <c r="E1796" s="101"/>
      <c r="F1796" s="102"/>
      <c r="G1796" s="112" t="s">
        <v>56</v>
      </c>
      <c r="H1796" s="100" t="s">
        <v>132</v>
      </c>
      <c r="I1796" s="101"/>
      <c r="J1796" s="101"/>
      <c r="K1796" s="101"/>
      <c r="L1796" s="102"/>
    </row>
    <row r="1797" spans="1:12" s="90" customFormat="1" ht="15">
      <c r="A1797" s="99" t="s">
        <v>64</v>
      </c>
      <c r="B1797" s="116" t="s">
        <v>127</v>
      </c>
      <c r="C1797" s="101"/>
      <c r="D1797" s="101"/>
      <c r="E1797" s="101"/>
      <c r="F1797" s="102"/>
      <c r="G1797" s="99" t="s">
        <v>64</v>
      </c>
      <c r="H1797" s="116" t="s">
        <v>133</v>
      </c>
      <c r="I1797" s="101"/>
      <c r="J1797" s="101"/>
      <c r="K1797" s="101"/>
      <c r="L1797" s="102"/>
    </row>
    <row r="1798" spans="1:12" s="90" customFormat="1" ht="15.75" thickBot="1">
      <c r="A1798" s="117"/>
      <c r="B1798" s="118" t="s">
        <v>148</v>
      </c>
      <c r="C1798" s="88">
        <f>+C1786+C1792+C1796+C1797</f>
        <v>8509952</v>
      </c>
      <c r="D1798" s="88">
        <f>+D1786+D1792+D1796+D1797</f>
        <v>8509952</v>
      </c>
      <c r="E1798" s="88">
        <f>+E1786+E1792+E1796+E1797</f>
        <v>8509952</v>
      </c>
      <c r="F1798" s="119">
        <f>+E1798/D1798</f>
        <v>1</v>
      </c>
      <c r="G1798" s="117"/>
      <c r="H1798" s="118" t="s">
        <v>149</v>
      </c>
      <c r="I1798" s="88">
        <f>+I1797+I1796+I1792+I1786</f>
        <v>8509952</v>
      </c>
      <c r="J1798" s="88">
        <f>+J1797+J1796+J1792+J1786</f>
        <v>8509952</v>
      </c>
      <c r="K1798" s="88">
        <f>+K1797+K1796+K1792+K1786</f>
        <v>3043589</v>
      </c>
      <c r="L1798" s="119">
        <f>+K1798/J1798</f>
        <v>0.3576505484402262</v>
      </c>
    </row>
    <row r="1799" spans="1:12" s="90" customFormat="1" ht="15">
      <c r="A1799" s="124"/>
      <c r="B1799" s="124"/>
      <c r="C1799" s="93"/>
      <c r="D1799" s="93"/>
      <c r="E1799" s="93"/>
      <c r="F1799" s="93"/>
      <c r="G1799" s="124"/>
      <c r="H1799" s="124"/>
      <c r="I1799" s="93"/>
      <c r="J1799" s="93"/>
      <c r="K1799" s="93"/>
      <c r="L1799" s="93"/>
    </row>
    <row r="1800" spans="1:12" s="90" customFormat="1" ht="15.75" thickBot="1">
      <c r="A1800" s="90" t="s">
        <v>886</v>
      </c>
      <c r="B1800" s="124"/>
      <c r="C1800" s="93"/>
      <c r="D1800" s="93"/>
      <c r="E1800" s="93"/>
      <c r="F1800" s="93"/>
      <c r="G1800" s="124"/>
      <c r="H1800" s="124"/>
      <c r="I1800" s="595"/>
      <c r="J1800" s="595"/>
      <c r="K1800" s="93"/>
      <c r="L1800" s="596" t="s">
        <v>216</v>
      </c>
    </row>
    <row r="1801" spans="1:12" s="90" customFormat="1" ht="28.5">
      <c r="A1801" s="96"/>
      <c r="B1801" s="97" t="s">
        <v>104</v>
      </c>
      <c r="C1801" s="86" t="s">
        <v>227</v>
      </c>
      <c r="D1801" s="86" t="s">
        <v>844</v>
      </c>
      <c r="E1801" s="86" t="s">
        <v>303</v>
      </c>
      <c r="F1801" s="87" t="s">
        <v>304</v>
      </c>
      <c r="G1801" s="96">
        <v>158</v>
      </c>
      <c r="H1801" s="97" t="s">
        <v>105</v>
      </c>
      <c r="I1801" s="86" t="s">
        <v>227</v>
      </c>
      <c r="J1801" s="86" t="s">
        <v>844</v>
      </c>
      <c r="K1801" s="86" t="s">
        <v>303</v>
      </c>
      <c r="L1801" s="87" t="s">
        <v>304</v>
      </c>
    </row>
    <row r="1802" spans="1:12" s="90" customFormat="1" ht="15">
      <c r="A1802" s="99" t="s">
        <v>23</v>
      </c>
      <c r="B1802" s="100" t="s">
        <v>108</v>
      </c>
      <c r="C1802" s="101">
        <f>+C1803+C1805+C1806+C1807</f>
        <v>2873875</v>
      </c>
      <c r="D1802" s="101">
        <f>+D1803+D1805+D1806+D1807</f>
        <v>2873875</v>
      </c>
      <c r="E1802" s="101">
        <f>+E1803+E1805+E1806+E1807</f>
        <v>2873875</v>
      </c>
      <c r="F1802" s="102">
        <f>+E1802/D1802</f>
        <v>1</v>
      </c>
      <c r="G1802" s="99" t="s">
        <v>23</v>
      </c>
      <c r="H1802" s="100" t="s">
        <v>129</v>
      </c>
      <c r="I1802" s="101">
        <f>SUM(I1803:I1807)</f>
        <v>2873875</v>
      </c>
      <c r="J1802" s="101">
        <f>SUM(J1803:J1807)</f>
        <v>2873875</v>
      </c>
      <c r="K1802" s="101">
        <f>SUM(K1803:K1807)</f>
        <v>1172133</v>
      </c>
      <c r="L1802" s="102">
        <f>+K1802/J1802</f>
        <v>0.4078580314035927</v>
      </c>
    </row>
    <row r="1803" spans="1:12" s="90" customFormat="1" ht="15">
      <c r="A1803" s="99" t="s">
        <v>111</v>
      </c>
      <c r="B1803" s="116" t="s">
        <v>209</v>
      </c>
      <c r="C1803" s="106">
        <f>+C1804</f>
        <v>2873875</v>
      </c>
      <c r="D1803" s="106">
        <f>+D1804</f>
        <v>2873875</v>
      </c>
      <c r="E1803" s="106">
        <f>E1804</f>
        <v>2873875</v>
      </c>
      <c r="F1803" s="599">
        <f>+E1803/D1803</f>
        <v>1</v>
      </c>
      <c r="G1803" s="99" t="s">
        <v>111</v>
      </c>
      <c r="H1803" s="116" t="s">
        <v>80</v>
      </c>
      <c r="I1803" s="106">
        <v>2445851</v>
      </c>
      <c r="J1803" s="106">
        <v>2445851</v>
      </c>
      <c r="K1803" s="106">
        <v>1001457</v>
      </c>
      <c r="L1803" s="599">
        <f>+K1803/J1803</f>
        <v>0.4094513525149324</v>
      </c>
    </row>
    <row r="1804" spans="1:12" s="90" customFormat="1" ht="15">
      <c r="A1804" s="99"/>
      <c r="B1804" s="116" t="s">
        <v>210</v>
      </c>
      <c r="C1804" s="106">
        <v>2873875</v>
      </c>
      <c r="D1804" s="106">
        <v>2873875</v>
      </c>
      <c r="E1804" s="106">
        <v>2873875</v>
      </c>
      <c r="F1804" s="599">
        <f>+E1804/D1804</f>
        <v>1</v>
      </c>
      <c r="G1804" s="99" t="s">
        <v>112</v>
      </c>
      <c r="H1804" s="116" t="s">
        <v>147</v>
      </c>
      <c r="I1804" s="106">
        <v>428024</v>
      </c>
      <c r="J1804" s="106">
        <v>428024</v>
      </c>
      <c r="K1804" s="106">
        <v>170676</v>
      </c>
      <c r="L1804" s="599">
        <f>+K1804/J1804</f>
        <v>0.3987533409341532</v>
      </c>
    </row>
    <row r="1805" spans="1:12" s="90" customFormat="1" ht="15">
      <c r="A1805" s="99" t="s">
        <v>112</v>
      </c>
      <c r="B1805" s="116" t="s">
        <v>9</v>
      </c>
      <c r="C1805" s="106"/>
      <c r="D1805" s="106"/>
      <c r="E1805" s="106"/>
      <c r="F1805" s="599"/>
      <c r="G1805" s="99" t="s">
        <v>113</v>
      </c>
      <c r="H1805" s="116" t="s">
        <v>83</v>
      </c>
      <c r="I1805" s="106"/>
      <c r="J1805" s="106"/>
      <c r="K1805" s="106"/>
      <c r="L1805" s="599"/>
    </row>
    <row r="1806" spans="1:12" s="90" customFormat="1" ht="15">
      <c r="A1806" s="99" t="s">
        <v>113</v>
      </c>
      <c r="B1806" s="116" t="s">
        <v>170</v>
      </c>
      <c r="C1806" s="106"/>
      <c r="D1806" s="106"/>
      <c r="E1806" s="106"/>
      <c r="F1806" s="599"/>
      <c r="G1806" s="99" t="s">
        <v>114</v>
      </c>
      <c r="H1806" s="116" t="s">
        <v>84</v>
      </c>
      <c r="I1806" s="106"/>
      <c r="J1806" s="106"/>
      <c r="K1806" s="106"/>
      <c r="L1806" s="599"/>
    </row>
    <row r="1807" spans="1:12" s="90" customFormat="1" ht="15">
      <c r="A1807" s="99" t="s">
        <v>114</v>
      </c>
      <c r="B1807" s="116" t="s">
        <v>181</v>
      </c>
      <c r="C1807" s="106"/>
      <c r="D1807" s="106"/>
      <c r="E1807" s="106"/>
      <c r="F1807" s="599"/>
      <c r="G1807" s="99" t="s">
        <v>115</v>
      </c>
      <c r="H1807" s="116" t="s">
        <v>211</v>
      </c>
      <c r="I1807" s="106"/>
      <c r="J1807" s="106"/>
      <c r="K1807" s="106"/>
      <c r="L1807" s="599"/>
    </row>
    <row r="1808" spans="1:12" s="90" customFormat="1" ht="15">
      <c r="A1808" s="112" t="s">
        <v>45</v>
      </c>
      <c r="B1808" s="100" t="s">
        <v>118</v>
      </c>
      <c r="C1808" s="101"/>
      <c r="D1808" s="101"/>
      <c r="E1808" s="101"/>
      <c r="F1808" s="102"/>
      <c r="G1808" s="112" t="s">
        <v>45</v>
      </c>
      <c r="H1808" s="100" t="s">
        <v>130</v>
      </c>
      <c r="I1808" s="101"/>
      <c r="J1808" s="101"/>
      <c r="K1808" s="101"/>
      <c r="L1808" s="102"/>
    </row>
    <row r="1809" spans="1:12" s="90" customFormat="1" ht="15">
      <c r="A1809" s="112" t="s">
        <v>111</v>
      </c>
      <c r="B1809" s="100" t="s">
        <v>106</v>
      </c>
      <c r="C1809" s="106"/>
      <c r="D1809" s="106"/>
      <c r="E1809" s="106"/>
      <c r="F1809" s="599"/>
      <c r="G1809" s="112" t="s">
        <v>111</v>
      </c>
      <c r="H1809" s="100" t="s">
        <v>131</v>
      </c>
      <c r="I1809" s="106"/>
      <c r="J1809" s="106"/>
      <c r="K1809" s="106"/>
      <c r="L1809" s="599"/>
    </row>
    <row r="1810" spans="1:12" s="90" customFormat="1" ht="15">
      <c r="A1810" s="112" t="s">
        <v>112</v>
      </c>
      <c r="B1810" s="100" t="s">
        <v>39</v>
      </c>
      <c r="C1810" s="106"/>
      <c r="D1810" s="106"/>
      <c r="E1810" s="106"/>
      <c r="F1810" s="599"/>
      <c r="G1810" s="112" t="s">
        <v>112</v>
      </c>
      <c r="H1810" s="100" t="s">
        <v>87</v>
      </c>
      <c r="I1810" s="106"/>
      <c r="J1810" s="106"/>
      <c r="K1810" s="106"/>
      <c r="L1810" s="599"/>
    </row>
    <row r="1811" spans="1:12" s="90" customFormat="1" ht="15">
      <c r="A1811" s="112" t="s">
        <v>113</v>
      </c>
      <c r="B1811" s="100" t="s">
        <v>201</v>
      </c>
      <c r="C1811" s="106"/>
      <c r="D1811" s="106"/>
      <c r="E1811" s="106"/>
      <c r="F1811" s="599"/>
      <c r="G1811" s="112" t="s">
        <v>113</v>
      </c>
      <c r="H1811" s="100" t="s">
        <v>90</v>
      </c>
      <c r="I1811" s="106"/>
      <c r="J1811" s="106"/>
      <c r="K1811" s="106"/>
      <c r="L1811" s="599"/>
    </row>
    <row r="1812" spans="1:12" s="90" customFormat="1" ht="15">
      <c r="A1812" s="112" t="s">
        <v>56</v>
      </c>
      <c r="B1812" s="100" t="s">
        <v>126</v>
      </c>
      <c r="C1812" s="101"/>
      <c r="D1812" s="101"/>
      <c r="E1812" s="101"/>
      <c r="F1812" s="102"/>
      <c r="G1812" s="112" t="s">
        <v>56</v>
      </c>
      <c r="H1812" s="100" t="s">
        <v>132</v>
      </c>
      <c r="I1812" s="101"/>
      <c r="J1812" s="101"/>
      <c r="K1812" s="101"/>
      <c r="L1812" s="102"/>
    </row>
    <row r="1813" spans="1:12" s="90" customFormat="1" ht="15">
      <c r="A1813" s="99" t="s">
        <v>64</v>
      </c>
      <c r="B1813" s="116" t="s">
        <v>127</v>
      </c>
      <c r="C1813" s="101"/>
      <c r="D1813" s="101"/>
      <c r="E1813" s="101"/>
      <c r="F1813" s="102"/>
      <c r="G1813" s="99" t="s">
        <v>64</v>
      </c>
      <c r="H1813" s="116" t="s">
        <v>133</v>
      </c>
      <c r="I1813" s="101"/>
      <c r="J1813" s="101"/>
      <c r="K1813" s="101"/>
      <c r="L1813" s="102"/>
    </row>
    <row r="1814" spans="1:12" s="90" customFormat="1" ht="15.75" thickBot="1">
      <c r="A1814" s="117"/>
      <c r="B1814" s="118" t="s">
        <v>148</v>
      </c>
      <c r="C1814" s="88">
        <f>+C1813+C1812+C1808+C1802</f>
        <v>2873875</v>
      </c>
      <c r="D1814" s="88">
        <f>+D1813+D1812+D1808+D1802</f>
        <v>2873875</v>
      </c>
      <c r="E1814" s="88">
        <f>+E1802+E1808+E1812+E1813</f>
        <v>2873875</v>
      </c>
      <c r="F1814" s="119">
        <f>+E1814/D1814</f>
        <v>1</v>
      </c>
      <c r="G1814" s="117"/>
      <c r="H1814" s="118" t="s">
        <v>149</v>
      </c>
      <c r="I1814" s="88">
        <f>+I1813+I1812+I1808+I1802</f>
        <v>2873875</v>
      </c>
      <c r="J1814" s="88">
        <f>+J1813+J1812+J1808+J1802</f>
        <v>2873875</v>
      </c>
      <c r="K1814" s="88">
        <f>+K1813+K1812+K1808+K1802</f>
        <v>1172133</v>
      </c>
      <c r="L1814" s="119">
        <f>+K1814/J1814</f>
        <v>0.4078580314035927</v>
      </c>
    </row>
    <row r="1815" spans="1:12" s="90" customFormat="1" ht="15">
      <c r="A1815" s="124"/>
      <c r="B1815" s="124"/>
      <c r="C1815" s="93"/>
      <c r="D1815" s="93"/>
      <c r="E1815" s="93"/>
      <c r="F1815" s="93"/>
      <c r="G1815" s="124"/>
      <c r="H1815" s="124"/>
      <c r="I1815" s="93"/>
      <c r="J1815" s="93"/>
      <c r="K1815" s="93"/>
      <c r="L1815" s="93"/>
    </row>
    <row r="1816" spans="1:12" s="90" customFormat="1" ht="15.75" thickBot="1">
      <c r="A1816" s="90" t="s">
        <v>887</v>
      </c>
      <c r="B1816" s="124"/>
      <c r="C1816" s="93"/>
      <c r="D1816" s="93"/>
      <c r="E1816" s="93"/>
      <c r="F1816" s="93"/>
      <c r="G1816" s="124"/>
      <c r="H1816" s="124"/>
      <c r="I1816" s="595"/>
      <c r="J1816" s="595"/>
      <c r="K1816" s="93"/>
      <c r="L1816" s="596" t="s">
        <v>216</v>
      </c>
    </row>
    <row r="1817" spans="1:12" s="90" customFormat="1" ht="28.5">
      <c r="A1817" s="96"/>
      <c r="B1817" s="97" t="s">
        <v>104</v>
      </c>
      <c r="C1817" s="86" t="s">
        <v>227</v>
      </c>
      <c r="D1817" s="86" t="s">
        <v>844</v>
      </c>
      <c r="E1817" s="86" t="s">
        <v>303</v>
      </c>
      <c r="F1817" s="87" t="s">
        <v>304</v>
      </c>
      <c r="G1817" s="96">
        <v>157</v>
      </c>
      <c r="H1817" s="97" t="s">
        <v>105</v>
      </c>
      <c r="I1817" s="86" t="s">
        <v>227</v>
      </c>
      <c r="J1817" s="86" t="s">
        <v>844</v>
      </c>
      <c r="K1817" s="86" t="s">
        <v>303</v>
      </c>
      <c r="L1817" s="87" t="s">
        <v>304</v>
      </c>
    </row>
    <row r="1818" spans="1:12" s="90" customFormat="1" ht="15">
      <c r="A1818" s="99" t="s">
        <v>23</v>
      </c>
      <c r="B1818" s="100" t="s">
        <v>108</v>
      </c>
      <c r="C1818" s="101">
        <f>+C1819+C1821+C1822+C1823</f>
        <v>9345000</v>
      </c>
      <c r="D1818" s="101">
        <f>+D1819+D1821+D1822+D1823</f>
        <v>9345000</v>
      </c>
      <c r="E1818" s="101">
        <f>+E1819+E1821+E1822+E1823</f>
        <v>9345000</v>
      </c>
      <c r="F1818" s="102">
        <f>+E1818/D1818</f>
        <v>1</v>
      </c>
      <c r="G1818" s="99" t="s">
        <v>23</v>
      </c>
      <c r="H1818" s="100" t="s">
        <v>129</v>
      </c>
      <c r="I1818" s="101">
        <f>SUM(I1819:I1823)</f>
        <v>9345000</v>
      </c>
      <c r="J1818" s="101">
        <f>SUM(J1819:J1823)</f>
        <v>9345000</v>
      </c>
      <c r="K1818" s="101">
        <f>SUM(K1819:K1823)</f>
        <v>4204389</v>
      </c>
      <c r="L1818" s="102">
        <f>+K1818/J1818</f>
        <v>0.4499078651685393</v>
      </c>
    </row>
    <row r="1819" spans="1:12" s="90" customFormat="1" ht="15">
      <c r="A1819" s="99" t="s">
        <v>111</v>
      </c>
      <c r="B1819" s="116" t="s">
        <v>209</v>
      </c>
      <c r="C1819" s="106">
        <f>+C1820</f>
        <v>9345000</v>
      </c>
      <c r="D1819" s="106">
        <f>+D1820</f>
        <v>9345000</v>
      </c>
      <c r="E1819" s="106">
        <f>E1820</f>
        <v>9345000</v>
      </c>
      <c r="F1819" s="599">
        <f>+E1819/D1819</f>
        <v>1</v>
      </c>
      <c r="G1819" s="99" t="s">
        <v>111</v>
      </c>
      <c r="H1819" s="116" t="s">
        <v>80</v>
      </c>
      <c r="I1819" s="106">
        <v>7953191</v>
      </c>
      <c r="J1819" s="106">
        <v>7953191</v>
      </c>
      <c r="K1819" s="106">
        <v>3590860</v>
      </c>
      <c r="L1819" s="599">
        <f>+K1819/J1819</f>
        <v>0.4514992787171841</v>
      </c>
    </row>
    <row r="1820" spans="1:12" s="90" customFormat="1" ht="15">
      <c r="A1820" s="99"/>
      <c r="B1820" s="116" t="s">
        <v>210</v>
      </c>
      <c r="C1820" s="106">
        <v>9345000</v>
      </c>
      <c r="D1820" s="106">
        <v>9345000</v>
      </c>
      <c r="E1820" s="106">
        <v>9345000</v>
      </c>
      <c r="F1820" s="599">
        <f>+E1820/D1820</f>
        <v>1</v>
      </c>
      <c r="G1820" s="99" t="s">
        <v>112</v>
      </c>
      <c r="H1820" s="116" t="s">
        <v>147</v>
      </c>
      <c r="I1820" s="106">
        <v>1391809</v>
      </c>
      <c r="J1820" s="106">
        <v>1391809</v>
      </c>
      <c r="K1820" s="106">
        <v>613529</v>
      </c>
      <c r="L1820" s="599">
        <f>+K1820/J1820</f>
        <v>0.44081407721892873</v>
      </c>
    </row>
    <row r="1821" spans="1:12" s="90" customFormat="1" ht="15">
      <c r="A1821" s="99" t="s">
        <v>112</v>
      </c>
      <c r="B1821" s="116" t="s">
        <v>9</v>
      </c>
      <c r="C1821" s="106"/>
      <c r="D1821" s="106"/>
      <c r="E1821" s="106"/>
      <c r="F1821" s="599"/>
      <c r="G1821" s="99" t="s">
        <v>113</v>
      </c>
      <c r="H1821" s="116" t="s">
        <v>83</v>
      </c>
      <c r="I1821" s="106"/>
      <c r="J1821" s="106"/>
      <c r="K1821" s="106"/>
      <c r="L1821" s="599"/>
    </row>
    <row r="1822" spans="1:12" s="90" customFormat="1" ht="15">
      <c r="A1822" s="99" t="s">
        <v>113</v>
      </c>
      <c r="B1822" s="116" t="s">
        <v>170</v>
      </c>
      <c r="C1822" s="106"/>
      <c r="D1822" s="106"/>
      <c r="E1822" s="106"/>
      <c r="F1822" s="599"/>
      <c r="G1822" s="99" t="s">
        <v>114</v>
      </c>
      <c r="H1822" s="116" t="s">
        <v>84</v>
      </c>
      <c r="I1822" s="106"/>
      <c r="J1822" s="106"/>
      <c r="K1822" s="106"/>
      <c r="L1822" s="599"/>
    </row>
    <row r="1823" spans="1:12" s="90" customFormat="1" ht="15">
      <c r="A1823" s="99" t="s">
        <v>114</v>
      </c>
      <c r="B1823" s="116" t="s">
        <v>181</v>
      </c>
      <c r="C1823" s="106"/>
      <c r="D1823" s="106"/>
      <c r="E1823" s="106"/>
      <c r="F1823" s="599"/>
      <c r="G1823" s="99" t="s">
        <v>115</v>
      </c>
      <c r="H1823" s="116" t="s">
        <v>211</v>
      </c>
      <c r="I1823" s="106"/>
      <c r="J1823" s="106"/>
      <c r="K1823" s="106"/>
      <c r="L1823" s="599"/>
    </row>
    <row r="1824" spans="1:12" s="90" customFormat="1" ht="15">
      <c r="A1824" s="112" t="s">
        <v>45</v>
      </c>
      <c r="B1824" s="100" t="s">
        <v>118</v>
      </c>
      <c r="C1824" s="101"/>
      <c r="D1824" s="101"/>
      <c r="E1824" s="101"/>
      <c r="F1824" s="102"/>
      <c r="G1824" s="112" t="s">
        <v>45</v>
      </c>
      <c r="H1824" s="100" t="s">
        <v>130</v>
      </c>
      <c r="I1824" s="101"/>
      <c r="J1824" s="101"/>
      <c r="K1824" s="101"/>
      <c r="L1824" s="102"/>
    </row>
    <row r="1825" spans="1:12" s="90" customFormat="1" ht="15">
      <c r="A1825" s="112" t="s">
        <v>111</v>
      </c>
      <c r="B1825" s="100" t="s">
        <v>106</v>
      </c>
      <c r="C1825" s="106"/>
      <c r="D1825" s="106"/>
      <c r="E1825" s="106"/>
      <c r="F1825" s="599"/>
      <c r="G1825" s="112" t="s">
        <v>111</v>
      </c>
      <c r="H1825" s="100" t="s">
        <v>131</v>
      </c>
      <c r="I1825" s="106"/>
      <c r="J1825" s="106"/>
      <c r="K1825" s="106"/>
      <c r="L1825" s="599"/>
    </row>
    <row r="1826" spans="1:12" s="90" customFormat="1" ht="15">
      <c r="A1826" s="112" t="s">
        <v>112</v>
      </c>
      <c r="B1826" s="100" t="s">
        <v>39</v>
      </c>
      <c r="C1826" s="106"/>
      <c r="D1826" s="106"/>
      <c r="E1826" s="106"/>
      <c r="F1826" s="599"/>
      <c r="G1826" s="112" t="s">
        <v>112</v>
      </c>
      <c r="H1826" s="100" t="s">
        <v>87</v>
      </c>
      <c r="I1826" s="106"/>
      <c r="J1826" s="106"/>
      <c r="K1826" s="106"/>
      <c r="L1826" s="599"/>
    </row>
    <row r="1827" spans="1:12" s="90" customFormat="1" ht="15">
      <c r="A1827" s="112" t="s">
        <v>113</v>
      </c>
      <c r="B1827" s="100" t="s">
        <v>201</v>
      </c>
      <c r="C1827" s="106"/>
      <c r="D1827" s="106"/>
      <c r="E1827" s="106"/>
      <c r="F1827" s="599"/>
      <c r="G1827" s="112" t="s">
        <v>113</v>
      </c>
      <c r="H1827" s="100" t="s">
        <v>90</v>
      </c>
      <c r="I1827" s="106"/>
      <c r="J1827" s="106"/>
      <c r="K1827" s="106"/>
      <c r="L1827" s="599"/>
    </row>
    <row r="1828" spans="1:12" s="90" customFormat="1" ht="15">
      <c r="A1828" s="112" t="s">
        <v>56</v>
      </c>
      <c r="B1828" s="100" t="s">
        <v>126</v>
      </c>
      <c r="C1828" s="101"/>
      <c r="D1828" s="101"/>
      <c r="E1828" s="101"/>
      <c r="F1828" s="102"/>
      <c r="G1828" s="112" t="s">
        <v>56</v>
      </c>
      <c r="H1828" s="100" t="s">
        <v>132</v>
      </c>
      <c r="I1828" s="101"/>
      <c r="J1828" s="101"/>
      <c r="K1828" s="101"/>
      <c r="L1828" s="102"/>
    </row>
    <row r="1829" spans="1:12" s="90" customFormat="1" ht="15">
      <c r="A1829" s="99" t="s">
        <v>64</v>
      </c>
      <c r="B1829" s="116" t="s">
        <v>127</v>
      </c>
      <c r="C1829" s="101"/>
      <c r="D1829" s="101"/>
      <c r="E1829" s="101"/>
      <c r="F1829" s="102"/>
      <c r="G1829" s="99" t="s">
        <v>64</v>
      </c>
      <c r="H1829" s="116" t="s">
        <v>133</v>
      </c>
      <c r="I1829" s="101"/>
      <c r="J1829" s="101"/>
      <c r="K1829" s="101"/>
      <c r="L1829" s="102"/>
    </row>
    <row r="1830" spans="1:12" s="90" customFormat="1" ht="15.75" thickBot="1">
      <c r="A1830" s="117"/>
      <c r="B1830" s="118" t="s">
        <v>148</v>
      </c>
      <c r="C1830" s="88">
        <f>+C1829+C1828+C1824+C1818</f>
        <v>9345000</v>
      </c>
      <c r="D1830" s="88">
        <f>+D1829+D1828+D1824+D1818</f>
        <v>9345000</v>
      </c>
      <c r="E1830" s="88">
        <f>+E1818+E1824+E1828+E1829</f>
        <v>9345000</v>
      </c>
      <c r="F1830" s="119">
        <f>+E1830/D1830</f>
        <v>1</v>
      </c>
      <c r="G1830" s="117"/>
      <c r="H1830" s="118" t="s">
        <v>149</v>
      </c>
      <c r="I1830" s="88">
        <f>+I1829+I1828+I1824+I1818</f>
        <v>9345000</v>
      </c>
      <c r="J1830" s="88">
        <f>+J1829+J1828+J1824+J1818</f>
        <v>9345000</v>
      </c>
      <c r="K1830" s="88">
        <f>+K1829+K1828+K1824+K1818</f>
        <v>4204389</v>
      </c>
      <c r="L1830" s="119">
        <f>+K1830/J1830</f>
        <v>0.4499078651685393</v>
      </c>
    </row>
    <row r="1831" spans="1:12" s="90" customFormat="1" ht="15">
      <c r="A1831" s="124"/>
      <c r="B1831" s="124"/>
      <c r="C1831" s="93"/>
      <c r="D1831" s="93"/>
      <c r="E1831" s="93"/>
      <c r="F1831" s="93"/>
      <c r="G1831" s="124"/>
      <c r="H1831" s="124"/>
      <c r="I1831" s="93"/>
      <c r="J1831" s="93"/>
      <c r="K1831" s="93"/>
      <c r="L1831" s="93"/>
    </row>
    <row r="1832" spans="1:12" s="90" customFormat="1" ht="15.75" thickBot="1">
      <c r="A1832" s="90" t="s">
        <v>888</v>
      </c>
      <c r="B1832" s="124"/>
      <c r="C1832" s="93"/>
      <c r="D1832" s="93"/>
      <c r="E1832" s="93"/>
      <c r="F1832" s="93"/>
      <c r="G1832" s="124"/>
      <c r="H1832" s="124"/>
      <c r="I1832" s="595"/>
      <c r="J1832" s="595"/>
      <c r="K1832" s="93"/>
      <c r="L1832" s="596" t="s">
        <v>216</v>
      </c>
    </row>
    <row r="1833" spans="1:12" s="90" customFormat="1" ht="28.5">
      <c r="A1833" s="96"/>
      <c r="B1833" s="97" t="s">
        <v>104</v>
      </c>
      <c r="C1833" s="86" t="s">
        <v>227</v>
      </c>
      <c r="D1833" s="86" t="s">
        <v>844</v>
      </c>
      <c r="E1833" s="86" t="s">
        <v>303</v>
      </c>
      <c r="F1833" s="87" t="s">
        <v>304</v>
      </c>
      <c r="G1833" s="96">
        <v>156</v>
      </c>
      <c r="H1833" s="97" t="s">
        <v>105</v>
      </c>
      <c r="I1833" s="86" t="s">
        <v>227</v>
      </c>
      <c r="J1833" s="86" t="s">
        <v>844</v>
      </c>
      <c r="K1833" s="86" t="s">
        <v>303</v>
      </c>
      <c r="L1833" s="87" t="s">
        <v>304</v>
      </c>
    </row>
    <row r="1834" spans="1:12" s="90" customFormat="1" ht="15">
      <c r="A1834" s="99" t="s">
        <v>23</v>
      </c>
      <c r="B1834" s="100" t="s">
        <v>108</v>
      </c>
      <c r="C1834" s="101">
        <f>+C1835+C1837+C1838+C1839</f>
        <v>3492500</v>
      </c>
      <c r="D1834" s="101">
        <f>+D1835+D1837+D1838+D1839</f>
        <v>3492500</v>
      </c>
      <c r="E1834" s="101">
        <f>+E1835+E1837+E1838+E1839</f>
        <v>3492500</v>
      </c>
      <c r="F1834" s="102">
        <f>+E1834/D1834</f>
        <v>1</v>
      </c>
      <c r="G1834" s="99" t="s">
        <v>23</v>
      </c>
      <c r="H1834" s="100" t="s">
        <v>129</v>
      </c>
      <c r="I1834" s="101">
        <f>SUM(I1835:I1839)</f>
        <v>3492500</v>
      </c>
      <c r="J1834" s="101">
        <f>SUM(J1835:J1839)</f>
        <v>3492500</v>
      </c>
      <c r="K1834" s="101">
        <f>SUM(K1835:K1839)</f>
        <v>0</v>
      </c>
      <c r="L1834" s="102">
        <f>+K1834/J1834</f>
        <v>0</v>
      </c>
    </row>
    <row r="1835" spans="1:12" s="90" customFormat="1" ht="15">
      <c r="A1835" s="99" t="s">
        <v>111</v>
      </c>
      <c r="B1835" s="116" t="s">
        <v>209</v>
      </c>
      <c r="C1835" s="106">
        <f>+C1836</f>
        <v>3492500</v>
      </c>
      <c r="D1835" s="106">
        <f>+D1836</f>
        <v>3492500</v>
      </c>
      <c r="E1835" s="106">
        <f>E1836</f>
        <v>3492500</v>
      </c>
      <c r="F1835" s="599">
        <f>+E1835/D1835</f>
        <v>1</v>
      </c>
      <c r="G1835" s="99" t="s">
        <v>111</v>
      </c>
      <c r="H1835" s="116" t="s">
        <v>80</v>
      </c>
      <c r="I1835" s="106">
        <v>2972340</v>
      </c>
      <c r="J1835" s="106">
        <v>2972340</v>
      </c>
      <c r="K1835" s="106">
        <v>0</v>
      </c>
      <c r="L1835" s="599">
        <f>+K1835/J1835</f>
        <v>0</v>
      </c>
    </row>
    <row r="1836" spans="1:12" s="90" customFormat="1" ht="15">
      <c r="A1836" s="99"/>
      <c r="B1836" s="116" t="s">
        <v>210</v>
      </c>
      <c r="C1836" s="106">
        <v>3492500</v>
      </c>
      <c r="D1836" s="106">
        <v>3492500</v>
      </c>
      <c r="E1836" s="106">
        <v>3492500</v>
      </c>
      <c r="F1836" s="599">
        <f>+E1836/D1836</f>
        <v>1</v>
      </c>
      <c r="G1836" s="99" t="s">
        <v>112</v>
      </c>
      <c r="H1836" s="116" t="s">
        <v>147</v>
      </c>
      <c r="I1836" s="106">
        <v>520160</v>
      </c>
      <c r="J1836" s="106">
        <v>520160</v>
      </c>
      <c r="K1836" s="106">
        <v>0</v>
      </c>
      <c r="L1836" s="599">
        <f>+K1836/J1836</f>
        <v>0</v>
      </c>
    </row>
    <row r="1837" spans="1:12" s="90" customFormat="1" ht="15">
      <c r="A1837" s="99" t="s">
        <v>112</v>
      </c>
      <c r="B1837" s="116" t="s">
        <v>9</v>
      </c>
      <c r="C1837" s="106"/>
      <c r="D1837" s="106"/>
      <c r="E1837" s="106"/>
      <c r="F1837" s="599"/>
      <c r="G1837" s="99" t="s">
        <v>113</v>
      </c>
      <c r="H1837" s="116" t="s">
        <v>83</v>
      </c>
      <c r="I1837" s="106"/>
      <c r="J1837" s="106"/>
      <c r="K1837" s="106"/>
      <c r="L1837" s="599"/>
    </row>
    <row r="1838" spans="1:12" s="90" customFormat="1" ht="15">
      <c r="A1838" s="99" t="s">
        <v>113</v>
      </c>
      <c r="B1838" s="116" t="s">
        <v>170</v>
      </c>
      <c r="C1838" s="106"/>
      <c r="D1838" s="106"/>
      <c r="E1838" s="106"/>
      <c r="F1838" s="599"/>
      <c r="G1838" s="99" t="s">
        <v>114</v>
      </c>
      <c r="H1838" s="116" t="s">
        <v>84</v>
      </c>
      <c r="I1838" s="106"/>
      <c r="J1838" s="106"/>
      <c r="K1838" s="106"/>
      <c r="L1838" s="599"/>
    </row>
    <row r="1839" spans="1:12" s="90" customFormat="1" ht="15">
      <c r="A1839" s="99" t="s">
        <v>114</v>
      </c>
      <c r="B1839" s="116" t="s">
        <v>181</v>
      </c>
      <c r="C1839" s="106"/>
      <c r="D1839" s="106"/>
      <c r="E1839" s="106"/>
      <c r="F1839" s="599"/>
      <c r="G1839" s="99" t="s">
        <v>115</v>
      </c>
      <c r="H1839" s="116" t="s">
        <v>211</v>
      </c>
      <c r="I1839" s="106"/>
      <c r="J1839" s="106"/>
      <c r="K1839" s="106"/>
      <c r="L1839" s="599"/>
    </row>
    <row r="1840" spans="1:12" s="90" customFormat="1" ht="15">
      <c r="A1840" s="112" t="s">
        <v>45</v>
      </c>
      <c r="B1840" s="100" t="s">
        <v>118</v>
      </c>
      <c r="C1840" s="101"/>
      <c r="D1840" s="101"/>
      <c r="E1840" s="101"/>
      <c r="F1840" s="102"/>
      <c r="G1840" s="112" t="s">
        <v>45</v>
      </c>
      <c r="H1840" s="100" t="s">
        <v>130</v>
      </c>
      <c r="I1840" s="101"/>
      <c r="J1840" s="101"/>
      <c r="K1840" s="101"/>
      <c r="L1840" s="102"/>
    </row>
    <row r="1841" spans="1:12" s="90" customFormat="1" ht="15">
      <c r="A1841" s="112" t="s">
        <v>111</v>
      </c>
      <c r="B1841" s="100" t="s">
        <v>106</v>
      </c>
      <c r="C1841" s="106"/>
      <c r="D1841" s="106"/>
      <c r="E1841" s="106"/>
      <c r="F1841" s="599"/>
      <c r="G1841" s="112" t="s">
        <v>111</v>
      </c>
      <c r="H1841" s="100" t="s">
        <v>131</v>
      </c>
      <c r="I1841" s="106"/>
      <c r="J1841" s="106"/>
      <c r="K1841" s="106"/>
      <c r="L1841" s="599"/>
    </row>
    <row r="1842" spans="1:12" s="90" customFormat="1" ht="15">
      <c r="A1842" s="112" t="s">
        <v>112</v>
      </c>
      <c r="B1842" s="100" t="s">
        <v>39</v>
      </c>
      <c r="C1842" s="106"/>
      <c r="D1842" s="106"/>
      <c r="E1842" s="106"/>
      <c r="F1842" s="599"/>
      <c r="G1842" s="112" t="s">
        <v>112</v>
      </c>
      <c r="H1842" s="100" t="s">
        <v>87</v>
      </c>
      <c r="I1842" s="106"/>
      <c r="J1842" s="106"/>
      <c r="K1842" s="106"/>
      <c r="L1842" s="599"/>
    </row>
    <row r="1843" spans="1:12" s="90" customFormat="1" ht="15">
      <c r="A1843" s="112" t="s">
        <v>113</v>
      </c>
      <c r="B1843" s="100" t="s">
        <v>201</v>
      </c>
      <c r="C1843" s="106"/>
      <c r="D1843" s="106"/>
      <c r="E1843" s="106"/>
      <c r="F1843" s="599"/>
      <c r="G1843" s="112" t="s">
        <v>113</v>
      </c>
      <c r="H1843" s="100" t="s">
        <v>90</v>
      </c>
      <c r="I1843" s="106"/>
      <c r="J1843" s="106"/>
      <c r="K1843" s="106"/>
      <c r="L1843" s="599"/>
    </row>
    <row r="1844" spans="1:12" s="90" customFormat="1" ht="15">
      <c r="A1844" s="112" t="s">
        <v>56</v>
      </c>
      <c r="B1844" s="100" t="s">
        <v>126</v>
      </c>
      <c r="C1844" s="101"/>
      <c r="D1844" s="101"/>
      <c r="E1844" s="101"/>
      <c r="F1844" s="102"/>
      <c r="G1844" s="112" t="s">
        <v>56</v>
      </c>
      <c r="H1844" s="100" t="s">
        <v>132</v>
      </c>
      <c r="I1844" s="101"/>
      <c r="J1844" s="101"/>
      <c r="K1844" s="101"/>
      <c r="L1844" s="102"/>
    </row>
    <row r="1845" spans="1:12" s="90" customFormat="1" ht="15">
      <c r="A1845" s="99" t="s">
        <v>64</v>
      </c>
      <c r="B1845" s="116" t="s">
        <v>127</v>
      </c>
      <c r="C1845" s="101"/>
      <c r="D1845" s="101"/>
      <c r="E1845" s="101"/>
      <c r="F1845" s="102"/>
      <c r="G1845" s="99" t="s">
        <v>64</v>
      </c>
      <c r="H1845" s="116" t="s">
        <v>133</v>
      </c>
      <c r="I1845" s="101"/>
      <c r="J1845" s="101"/>
      <c r="K1845" s="101"/>
      <c r="L1845" s="102"/>
    </row>
    <row r="1846" spans="1:12" s="90" customFormat="1" ht="15.75" thickBot="1">
      <c r="A1846" s="117"/>
      <c r="B1846" s="118" t="s">
        <v>148</v>
      </c>
      <c r="C1846" s="88">
        <f>+C1845+C1844+C1840+C1834</f>
        <v>3492500</v>
      </c>
      <c r="D1846" s="88">
        <f>+D1845+D1844+D1840+D1834</f>
        <v>3492500</v>
      </c>
      <c r="E1846" s="88">
        <f>+E1834+E1840+E1844+E1845</f>
        <v>3492500</v>
      </c>
      <c r="F1846" s="119">
        <f>+E1846/D1846</f>
        <v>1</v>
      </c>
      <c r="G1846" s="117"/>
      <c r="H1846" s="118" t="s">
        <v>149</v>
      </c>
      <c r="I1846" s="88">
        <f>+I1845+I1844+I1840+I1834</f>
        <v>3492500</v>
      </c>
      <c r="J1846" s="88">
        <f>+J1845+J1844+J1840+J1834</f>
        <v>3492500</v>
      </c>
      <c r="K1846" s="88">
        <f>+K1845+K1844+K1840+K1834</f>
        <v>0</v>
      </c>
      <c r="L1846" s="119">
        <f>+K1846/J1846</f>
        <v>0</v>
      </c>
    </row>
    <row r="1847" spans="1:12" s="90" customFormat="1" ht="15">
      <c r="A1847" s="124"/>
      <c r="B1847" s="124"/>
      <c r="C1847" s="93"/>
      <c r="D1847" s="93"/>
      <c r="E1847" s="93"/>
      <c r="F1847" s="93"/>
      <c r="G1847" s="124"/>
      <c r="H1847" s="124"/>
      <c r="I1847" s="93"/>
      <c r="J1847" s="93"/>
      <c r="K1847" s="93"/>
      <c r="L1847" s="93"/>
    </row>
    <row r="1848" spans="1:12" s="90" customFormat="1" ht="15.75" thickBot="1">
      <c r="A1848" s="90" t="s">
        <v>889</v>
      </c>
      <c r="B1848" s="124"/>
      <c r="C1848" s="93"/>
      <c r="D1848" s="93"/>
      <c r="E1848" s="93"/>
      <c r="F1848" s="93"/>
      <c r="G1848" s="124"/>
      <c r="H1848" s="124"/>
      <c r="I1848" s="595"/>
      <c r="J1848" s="595"/>
      <c r="K1848" s="93"/>
      <c r="L1848" s="596" t="s">
        <v>216</v>
      </c>
    </row>
    <row r="1849" spans="1:12" s="90" customFormat="1" ht="28.5">
      <c r="A1849" s="96"/>
      <c r="B1849" s="97" t="s">
        <v>104</v>
      </c>
      <c r="C1849" s="86" t="s">
        <v>227</v>
      </c>
      <c r="D1849" s="86" t="s">
        <v>844</v>
      </c>
      <c r="E1849" s="86" t="s">
        <v>303</v>
      </c>
      <c r="F1849" s="87" t="s">
        <v>304</v>
      </c>
      <c r="G1849" s="96">
        <v>161</v>
      </c>
      <c r="H1849" s="97" t="s">
        <v>105</v>
      </c>
      <c r="I1849" s="86" t="s">
        <v>227</v>
      </c>
      <c r="J1849" s="86" t="s">
        <v>844</v>
      </c>
      <c r="K1849" s="86" t="s">
        <v>303</v>
      </c>
      <c r="L1849" s="87" t="s">
        <v>304</v>
      </c>
    </row>
    <row r="1850" spans="1:12" s="90" customFormat="1" ht="15">
      <c r="A1850" s="99" t="s">
        <v>23</v>
      </c>
      <c r="B1850" s="100" t="s">
        <v>108</v>
      </c>
      <c r="C1850" s="101">
        <f>+C1851+C1853+C1854+C1855</f>
        <v>1965460</v>
      </c>
      <c r="D1850" s="101">
        <f>+D1851+D1853+D1854+D1855</f>
        <v>1965460</v>
      </c>
      <c r="E1850" s="101">
        <f>+E1851+E1853+E1854+E1855</f>
        <v>0</v>
      </c>
      <c r="F1850" s="102">
        <f>+E1850/D1850</f>
        <v>0</v>
      </c>
      <c r="G1850" s="99" t="s">
        <v>23</v>
      </c>
      <c r="H1850" s="100" t="s">
        <v>129</v>
      </c>
      <c r="I1850" s="101">
        <f>SUM(I1851:I1855)</f>
        <v>1965460</v>
      </c>
      <c r="J1850" s="101">
        <f>SUM(J1851:J1855)</f>
        <v>1965460</v>
      </c>
      <c r="K1850" s="101">
        <f>SUM(K1851:K1855)</f>
        <v>4826</v>
      </c>
      <c r="L1850" s="102">
        <f>+K1850/J1850</f>
        <v>0.0024554048416146855</v>
      </c>
    </row>
    <row r="1851" spans="1:12" s="90" customFormat="1" ht="15">
      <c r="A1851" s="99" t="s">
        <v>111</v>
      </c>
      <c r="B1851" s="116" t="s">
        <v>209</v>
      </c>
      <c r="C1851" s="106">
        <f>+C1852</f>
        <v>1965460</v>
      </c>
      <c r="D1851" s="106">
        <f>+D1852</f>
        <v>1965460</v>
      </c>
      <c r="E1851" s="106">
        <f>E1852</f>
        <v>0</v>
      </c>
      <c r="F1851" s="599">
        <f>+E1851/D1851</f>
        <v>0</v>
      </c>
      <c r="G1851" s="99" t="s">
        <v>111</v>
      </c>
      <c r="H1851" s="116" t="s">
        <v>80</v>
      </c>
      <c r="I1851" s="106">
        <v>1090000</v>
      </c>
      <c r="J1851" s="106">
        <v>1090000</v>
      </c>
      <c r="K1851" s="106">
        <v>0</v>
      </c>
      <c r="L1851" s="599">
        <f>+K1851/J1851</f>
        <v>0</v>
      </c>
    </row>
    <row r="1852" spans="1:12" s="90" customFormat="1" ht="15">
      <c r="A1852" s="99"/>
      <c r="B1852" s="116" t="s">
        <v>210</v>
      </c>
      <c r="C1852" s="106">
        <v>1965460</v>
      </c>
      <c r="D1852" s="106">
        <v>1965460</v>
      </c>
      <c r="E1852" s="106">
        <v>0</v>
      </c>
      <c r="F1852" s="599">
        <f>+E1852/D1852</f>
        <v>0</v>
      </c>
      <c r="G1852" s="99" t="s">
        <v>112</v>
      </c>
      <c r="H1852" s="116" t="s">
        <v>147</v>
      </c>
      <c r="I1852" s="106">
        <v>190750</v>
      </c>
      <c r="J1852" s="106">
        <v>190750</v>
      </c>
      <c r="K1852" s="106">
        <v>0</v>
      </c>
      <c r="L1852" s="599">
        <f>+K1852/J1852</f>
        <v>0</v>
      </c>
    </row>
    <row r="1853" spans="1:12" s="90" customFormat="1" ht="15">
      <c r="A1853" s="99" t="s">
        <v>112</v>
      </c>
      <c r="B1853" s="116" t="s">
        <v>9</v>
      </c>
      <c r="C1853" s="106"/>
      <c r="D1853" s="106"/>
      <c r="E1853" s="106"/>
      <c r="F1853" s="599"/>
      <c r="G1853" s="99" t="s">
        <v>113</v>
      </c>
      <c r="H1853" s="116" t="s">
        <v>83</v>
      </c>
      <c r="I1853" s="106">
        <v>684710</v>
      </c>
      <c r="J1853" s="106">
        <v>684710</v>
      </c>
      <c r="K1853" s="106">
        <v>4826</v>
      </c>
      <c r="L1853" s="599">
        <f>+K1853/J1853</f>
        <v>0.007048239400622161</v>
      </c>
    </row>
    <row r="1854" spans="1:12" s="90" customFormat="1" ht="15">
      <c r="A1854" s="99" t="s">
        <v>113</v>
      </c>
      <c r="B1854" s="116" t="s">
        <v>170</v>
      </c>
      <c r="C1854" s="106"/>
      <c r="D1854" s="106"/>
      <c r="E1854" s="106"/>
      <c r="F1854" s="599"/>
      <c r="G1854" s="99" t="s">
        <v>114</v>
      </c>
      <c r="H1854" s="116" t="s">
        <v>84</v>
      </c>
      <c r="I1854" s="106"/>
      <c r="J1854" s="106"/>
      <c r="K1854" s="106"/>
      <c r="L1854" s="599"/>
    </row>
    <row r="1855" spans="1:12" s="90" customFormat="1" ht="15">
      <c r="A1855" s="99" t="s">
        <v>114</v>
      </c>
      <c r="B1855" s="116" t="s">
        <v>181</v>
      </c>
      <c r="C1855" s="106"/>
      <c r="D1855" s="106"/>
      <c r="E1855" s="106"/>
      <c r="F1855" s="599"/>
      <c r="G1855" s="99" t="s">
        <v>115</v>
      </c>
      <c r="H1855" s="116" t="s">
        <v>211</v>
      </c>
      <c r="I1855" s="106"/>
      <c r="J1855" s="106"/>
      <c r="K1855" s="106"/>
      <c r="L1855" s="599"/>
    </row>
    <row r="1856" spans="1:12" s="90" customFormat="1" ht="15">
      <c r="A1856" s="112" t="s">
        <v>45</v>
      </c>
      <c r="B1856" s="100" t="s">
        <v>118</v>
      </c>
      <c r="C1856" s="101"/>
      <c r="D1856" s="101"/>
      <c r="E1856" s="101"/>
      <c r="F1856" s="102"/>
      <c r="G1856" s="112" t="s">
        <v>45</v>
      </c>
      <c r="H1856" s="100" t="s">
        <v>130</v>
      </c>
      <c r="I1856" s="101"/>
      <c r="J1856" s="101"/>
      <c r="K1856" s="101"/>
      <c r="L1856" s="102"/>
    </row>
    <row r="1857" spans="1:12" s="90" customFormat="1" ht="15">
      <c r="A1857" s="112" t="s">
        <v>111</v>
      </c>
      <c r="B1857" s="100" t="s">
        <v>106</v>
      </c>
      <c r="C1857" s="106"/>
      <c r="D1857" s="106"/>
      <c r="E1857" s="106"/>
      <c r="F1857" s="599"/>
      <c r="G1857" s="112" t="s">
        <v>111</v>
      </c>
      <c r="H1857" s="100" t="s">
        <v>131</v>
      </c>
      <c r="I1857" s="106"/>
      <c r="J1857" s="106"/>
      <c r="K1857" s="106"/>
      <c r="L1857" s="599"/>
    </row>
    <row r="1858" spans="1:12" s="90" customFormat="1" ht="15">
      <c r="A1858" s="112" t="s">
        <v>112</v>
      </c>
      <c r="B1858" s="100" t="s">
        <v>39</v>
      </c>
      <c r="C1858" s="106"/>
      <c r="D1858" s="106"/>
      <c r="E1858" s="106"/>
      <c r="F1858" s="599"/>
      <c r="G1858" s="112" t="s">
        <v>112</v>
      </c>
      <c r="H1858" s="100" t="s">
        <v>87</v>
      </c>
      <c r="I1858" s="106"/>
      <c r="J1858" s="106"/>
      <c r="K1858" s="106"/>
      <c r="L1858" s="599"/>
    </row>
    <row r="1859" spans="1:12" s="90" customFormat="1" ht="15">
      <c r="A1859" s="112" t="s">
        <v>113</v>
      </c>
      <c r="B1859" s="100" t="s">
        <v>201</v>
      </c>
      <c r="C1859" s="106"/>
      <c r="D1859" s="106"/>
      <c r="E1859" s="106"/>
      <c r="F1859" s="599"/>
      <c r="G1859" s="112" t="s">
        <v>113</v>
      </c>
      <c r="H1859" s="100" t="s">
        <v>90</v>
      </c>
      <c r="I1859" s="106"/>
      <c r="J1859" s="106"/>
      <c r="K1859" s="106"/>
      <c r="L1859" s="599"/>
    </row>
    <row r="1860" spans="1:12" s="90" customFormat="1" ht="15">
      <c r="A1860" s="112" t="s">
        <v>56</v>
      </c>
      <c r="B1860" s="100" t="s">
        <v>126</v>
      </c>
      <c r="C1860" s="101"/>
      <c r="D1860" s="101"/>
      <c r="E1860" s="101"/>
      <c r="F1860" s="102"/>
      <c r="G1860" s="112" t="s">
        <v>56</v>
      </c>
      <c r="H1860" s="100" t="s">
        <v>132</v>
      </c>
      <c r="I1860" s="101"/>
      <c r="J1860" s="101"/>
      <c r="K1860" s="101"/>
      <c r="L1860" s="102"/>
    </row>
    <row r="1861" spans="1:12" s="90" customFormat="1" ht="15">
      <c r="A1861" s="99" t="s">
        <v>64</v>
      </c>
      <c r="B1861" s="116" t="s">
        <v>127</v>
      </c>
      <c r="C1861" s="101"/>
      <c r="D1861" s="101"/>
      <c r="E1861" s="101"/>
      <c r="F1861" s="102"/>
      <c r="G1861" s="99" t="s">
        <v>64</v>
      </c>
      <c r="H1861" s="116" t="s">
        <v>133</v>
      </c>
      <c r="I1861" s="101"/>
      <c r="J1861" s="101"/>
      <c r="K1861" s="101"/>
      <c r="L1861" s="102"/>
    </row>
    <row r="1862" spans="1:12" s="90" customFormat="1" ht="15.75" thickBot="1">
      <c r="A1862" s="117"/>
      <c r="B1862" s="118" t="s">
        <v>148</v>
      </c>
      <c r="C1862" s="88">
        <f>+C1861+C1860+C1856+C1850</f>
        <v>1965460</v>
      </c>
      <c r="D1862" s="88">
        <f>+D1861+D1860+D1856+D1850</f>
        <v>1965460</v>
      </c>
      <c r="E1862" s="88">
        <f>+E1850+E1856+E1860+E1861</f>
        <v>0</v>
      </c>
      <c r="F1862" s="119">
        <f>+E1862/D1862</f>
        <v>0</v>
      </c>
      <c r="G1862" s="117"/>
      <c r="H1862" s="118" t="s">
        <v>149</v>
      </c>
      <c r="I1862" s="88">
        <f>+I1861+I1860+I1856+I1850</f>
        <v>1965460</v>
      </c>
      <c r="J1862" s="88">
        <f>+J1861+J1860+J1856+J1850</f>
        <v>1965460</v>
      </c>
      <c r="K1862" s="88">
        <f>+K1861+K1860+K1856+K1850</f>
        <v>4826</v>
      </c>
      <c r="L1862" s="119">
        <f>+K1862/J1862</f>
        <v>0.0024554048416146855</v>
      </c>
    </row>
    <row r="1863" spans="1:12" s="90" customFormat="1" ht="15">
      <c r="A1863" s="124"/>
      <c r="B1863" s="124"/>
      <c r="C1863" s="93"/>
      <c r="D1863" s="93"/>
      <c r="E1863" s="93"/>
      <c r="F1863" s="93"/>
      <c r="G1863" s="124"/>
      <c r="H1863" s="124"/>
      <c r="I1863" s="93"/>
      <c r="J1863" s="93"/>
      <c r="K1863" s="93"/>
      <c r="L1863" s="93"/>
    </row>
    <row r="1864" spans="1:12" s="90" customFormat="1" ht="15.75" thickBot="1">
      <c r="A1864" s="90" t="s">
        <v>890</v>
      </c>
      <c r="B1864" s="124"/>
      <c r="C1864" s="93"/>
      <c r="D1864" s="93"/>
      <c r="E1864" s="93"/>
      <c r="F1864" s="93"/>
      <c r="G1864" s="124"/>
      <c r="H1864" s="124"/>
      <c r="I1864" s="595"/>
      <c r="J1864" s="595"/>
      <c r="K1864" s="93"/>
      <c r="L1864" s="93" t="s">
        <v>216</v>
      </c>
    </row>
    <row r="1865" spans="1:12" s="90" customFormat="1" ht="28.5">
      <c r="A1865" s="96"/>
      <c r="B1865" s="97" t="s">
        <v>104</v>
      </c>
      <c r="C1865" s="86" t="s">
        <v>227</v>
      </c>
      <c r="D1865" s="86" t="s">
        <v>844</v>
      </c>
      <c r="E1865" s="86" t="s">
        <v>303</v>
      </c>
      <c r="F1865" s="87" t="s">
        <v>304</v>
      </c>
      <c r="G1865" s="96">
        <v>160</v>
      </c>
      <c r="H1865" s="97" t="s">
        <v>105</v>
      </c>
      <c r="I1865" s="86" t="s">
        <v>227</v>
      </c>
      <c r="J1865" s="86" t="s">
        <v>844</v>
      </c>
      <c r="K1865" s="86" t="s">
        <v>303</v>
      </c>
      <c r="L1865" s="87" t="s">
        <v>304</v>
      </c>
    </row>
    <row r="1866" spans="1:12" s="90" customFormat="1" ht="15">
      <c r="A1866" s="99" t="s">
        <v>23</v>
      </c>
      <c r="B1866" s="100" t="s">
        <v>108</v>
      </c>
      <c r="C1866" s="101">
        <f>+C1867+C1869+C1870+C1871</f>
        <v>5336312</v>
      </c>
      <c r="D1866" s="101">
        <f>+D1867+D1869+D1870+D1871</f>
        <v>5336312</v>
      </c>
      <c r="E1866" s="101">
        <f>+E1867+E1869+E1870+E1871</f>
        <v>0</v>
      </c>
      <c r="F1866" s="102">
        <f>+E1866/D1866</f>
        <v>0</v>
      </c>
      <c r="G1866" s="99" t="s">
        <v>23</v>
      </c>
      <c r="H1866" s="100" t="s">
        <v>129</v>
      </c>
      <c r="I1866" s="101">
        <f>SUM(I1867:I1871)</f>
        <v>5336312</v>
      </c>
      <c r="J1866" s="101">
        <f>SUM(J1867:J1871)</f>
        <v>5336312</v>
      </c>
      <c r="K1866" s="101">
        <f>SUM(K1867:K1871)</f>
        <v>4826</v>
      </c>
      <c r="L1866" s="102">
        <f>+K1866/J1866</f>
        <v>0.000904369909405597</v>
      </c>
    </row>
    <row r="1867" spans="1:12" s="90" customFormat="1" ht="15">
      <c r="A1867" s="99" t="s">
        <v>111</v>
      </c>
      <c r="B1867" s="116" t="s">
        <v>209</v>
      </c>
      <c r="C1867" s="106">
        <f>+C1868</f>
        <v>5336312</v>
      </c>
      <c r="D1867" s="106">
        <f>+D1868</f>
        <v>5336312</v>
      </c>
      <c r="E1867" s="106">
        <f>E1868</f>
        <v>0</v>
      </c>
      <c r="F1867" s="599">
        <f>+E1867/D1867</f>
        <v>0</v>
      </c>
      <c r="G1867" s="99" t="s">
        <v>111</v>
      </c>
      <c r="H1867" s="116" t="s">
        <v>80</v>
      </c>
      <c r="I1867" s="106">
        <v>1076630</v>
      </c>
      <c r="J1867" s="106">
        <v>1076630</v>
      </c>
      <c r="K1867" s="106">
        <v>0</v>
      </c>
      <c r="L1867" s="599">
        <f>+K1867/J1867</f>
        <v>0</v>
      </c>
    </row>
    <row r="1868" spans="1:12" s="90" customFormat="1" ht="15">
      <c r="A1868" s="99"/>
      <c r="B1868" s="116" t="s">
        <v>210</v>
      </c>
      <c r="C1868" s="106">
        <v>5336312</v>
      </c>
      <c r="D1868" s="106">
        <v>5336312</v>
      </c>
      <c r="E1868" s="106">
        <v>0</v>
      </c>
      <c r="F1868" s="599">
        <f>+E1868/D1868</f>
        <v>0</v>
      </c>
      <c r="G1868" s="99" t="s">
        <v>112</v>
      </c>
      <c r="H1868" s="116" t="s">
        <v>147</v>
      </c>
      <c r="I1868" s="106">
        <v>188410</v>
      </c>
      <c r="J1868" s="106">
        <v>188410</v>
      </c>
      <c r="K1868" s="106">
        <v>0</v>
      </c>
      <c r="L1868" s="599">
        <f>+K1868/J1868</f>
        <v>0</v>
      </c>
    </row>
    <row r="1869" spans="1:12" s="90" customFormat="1" ht="15">
      <c r="A1869" s="99" t="s">
        <v>112</v>
      </c>
      <c r="B1869" s="116" t="s">
        <v>9</v>
      </c>
      <c r="C1869" s="106"/>
      <c r="D1869" s="106"/>
      <c r="E1869" s="106"/>
      <c r="F1869" s="599"/>
      <c r="G1869" s="99" t="s">
        <v>113</v>
      </c>
      <c r="H1869" s="116" t="s">
        <v>83</v>
      </c>
      <c r="I1869" s="106">
        <v>4071272</v>
      </c>
      <c r="J1869" s="106">
        <v>4071272</v>
      </c>
      <c r="K1869" s="106">
        <v>4826</v>
      </c>
      <c r="L1869" s="599">
        <f>+K1869/J1869</f>
        <v>0.0011853789184313895</v>
      </c>
    </row>
    <row r="1870" spans="1:12" s="90" customFormat="1" ht="15">
      <c r="A1870" s="99" t="s">
        <v>113</v>
      </c>
      <c r="B1870" s="116" t="s">
        <v>170</v>
      </c>
      <c r="C1870" s="106"/>
      <c r="D1870" s="106"/>
      <c r="E1870" s="106"/>
      <c r="F1870" s="599"/>
      <c r="G1870" s="99" t="s">
        <v>114</v>
      </c>
      <c r="H1870" s="116" t="s">
        <v>84</v>
      </c>
      <c r="I1870" s="106"/>
      <c r="J1870" s="106"/>
      <c r="K1870" s="106"/>
      <c r="L1870" s="599"/>
    </row>
    <row r="1871" spans="1:12" s="90" customFormat="1" ht="15">
      <c r="A1871" s="99" t="s">
        <v>114</v>
      </c>
      <c r="B1871" s="116" t="s">
        <v>181</v>
      </c>
      <c r="C1871" s="106"/>
      <c r="D1871" s="106"/>
      <c r="E1871" s="106"/>
      <c r="F1871" s="599"/>
      <c r="G1871" s="99" t="s">
        <v>115</v>
      </c>
      <c r="H1871" s="116" t="s">
        <v>211</v>
      </c>
      <c r="I1871" s="106"/>
      <c r="J1871" s="106"/>
      <c r="K1871" s="106"/>
      <c r="L1871" s="599"/>
    </row>
    <row r="1872" spans="1:12" s="90" customFormat="1" ht="15">
      <c r="A1872" s="112" t="s">
        <v>45</v>
      </c>
      <c r="B1872" s="100" t="s">
        <v>118</v>
      </c>
      <c r="C1872" s="101"/>
      <c r="D1872" s="101"/>
      <c r="E1872" s="101"/>
      <c r="F1872" s="102"/>
      <c r="G1872" s="112" t="s">
        <v>45</v>
      </c>
      <c r="H1872" s="100" t="s">
        <v>130</v>
      </c>
      <c r="I1872" s="101"/>
      <c r="J1872" s="101"/>
      <c r="K1872" s="101"/>
      <c r="L1872" s="102"/>
    </row>
    <row r="1873" spans="1:12" s="90" customFormat="1" ht="15">
      <c r="A1873" s="112" t="s">
        <v>111</v>
      </c>
      <c r="B1873" s="100" t="s">
        <v>106</v>
      </c>
      <c r="C1873" s="106"/>
      <c r="D1873" s="106"/>
      <c r="E1873" s="106"/>
      <c r="F1873" s="599"/>
      <c r="G1873" s="112" t="s">
        <v>111</v>
      </c>
      <c r="H1873" s="100" t="s">
        <v>131</v>
      </c>
      <c r="I1873" s="106"/>
      <c r="J1873" s="106"/>
      <c r="K1873" s="106"/>
      <c r="L1873" s="599"/>
    </row>
    <row r="1874" spans="1:12" s="90" customFormat="1" ht="15">
      <c r="A1874" s="112" t="s">
        <v>112</v>
      </c>
      <c r="B1874" s="100" t="s">
        <v>39</v>
      </c>
      <c r="C1874" s="106"/>
      <c r="D1874" s="106"/>
      <c r="E1874" s="106"/>
      <c r="F1874" s="599"/>
      <c r="G1874" s="112" t="s">
        <v>112</v>
      </c>
      <c r="H1874" s="100" t="s">
        <v>87</v>
      </c>
      <c r="I1874" s="106"/>
      <c r="J1874" s="106"/>
      <c r="K1874" s="106"/>
      <c r="L1874" s="599"/>
    </row>
    <row r="1875" spans="1:12" s="90" customFormat="1" ht="15">
      <c r="A1875" s="112" t="s">
        <v>113</v>
      </c>
      <c r="B1875" s="100" t="s">
        <v>201</v>
      </c>
      <c r="C1875" s="106"/>
      <c r="D1875" s="106"/>
      <c r="E1875" s="106"/>
      <c r="F1875" s="599"/>
      <c r="G1875" s="112" t="s">
        <v>113</v>
      </c>
      <c r="H1875" s="100" t="s">
        <v>90</v>
      </c>
      <c r="I1875" s="106"/>
      <c r="J1875" s="106"/>
      <c r="K1875" s="106"/>
      <c r="L1875" s="599"/>
    </row>
    <row r="1876" spans="1:12" s="90" customFormat="1" ht="15">
      <c r="A1876" s="112" t="s">
        <v>56</v>
      </c>
      <c r="B1876" s="100" t="s">
        <v>126</v>
      </c>
      <c r="C1876" s="101"/>
      <c r="D1876" s="101"/>
      <c r="E1876" s="101"/>
      <c r="F1876" s="102"/>
      <c r="G1876" s="112" t="s">
        <v>56</v>
      </c>
      <c r="H1876" s="100" t="s">
        <v>132</v>
      </c>
      <c r="I1876" s="101"/>
      <c r="J1876" s="101"/>
      <c r="K1876" s="101"/>
      <c r="L1876" s="102"/>
    </row>
    <row r="1877" spans="1:12" s="90" customFormat="1" ht="15">
      <c r="A1877" s="99" t="s">
        <v>64</v>
      </c>
      <c r="B1877" s="116" t="s">
        <v>127</v>
      </c>
      <c r="C1877" s="101"/>
      <c r="D1877" s="101"/>
      <c r="E1877" s="101"/>
      <c r="F1877" s="102"/>
      <c r="G1877" s="99" t="s">
        <v>64</v>
      </c>
      <c r="H1877" s="116" t="s">
        <v>133</v>
      </c>
      <c r="I1877" s="101"/>
      <c r="J1877" s="101"/>
      <c r="K1877" s="101"/>
      <c r="L1877" s="102"/>
    </row>
    <row r="1878" spans="1:12" s="90" customFormat="1" ht="15.75" thickBot="1">
      <c r="A1878" s="117"/>
      <c r="B1878" s="118" t="s">
        <v>148</v>
      </c>
      <c r="C1878" s="88">
        <f>+C1877+C1876+C1872+C1866</f>
        <v>5336312</v>
      </c>
      <c r="D1878" s="88">
        <f>+D1877+D1876+D1872+D1866</f>
        <v>5336312</v>
      </c>
      <c r="E1878" s="88">
        <f>+E1866+E1872+E1876+E1877</f>
        <v>0</v>
      </c>
      <c r="F1878" s="119">
        <f>+E1878/D1878</f>
        <v>0</v>
      </c>
      <c r="G1878" s="117"/>
      <c r="H1878" s="118" t="s">
        <v>149</v>
      </c>
      <c r="I1878" s="88">
        <f>+I1877+I1876+I1872+I1866</f>
        <v>5336312</v>
      </c>
      <c r="J1878" s="88">
        <f>+J1877+J1876+J1872+J1866</f>
        <v>5336312</v>
      </c>
      <c r="K1878" s="88">
        <f>+K1877+K1876+K1872+K1866</f>
        <v>4826</v>
      </c>
      <c r="L1878" s="119">
        <f>+K1878/J1878</f>
        <v>0.000904369909405597</v>
      </c>
    </row>
    <row r="1879" spans="1:12" s="90" customFormat="1" ht="15">
      <c r="A1879" s="124"/>
      <c r="B1879" s="124"/>
      <c r="C1879" s="93"/>
      <c r="D1879" s="93"/>
      <c r="E1879" s="93"/>
      <c r="F1879" s="93"/>
      <c r="G1879" s="124"/>
      <c r="H1879" s="124"/>
      <c r="I1879" s="93"/>
      <c r="J1879" s="93"/>
      <c r="K1879" s="93"/>
      <c r="L1879" s="93"/>
    </row>
    <row r="1880" spans="1:12" s="90" customFormat="1" ht="15.75" thickBot="1">
      <c r="A1880" s="90" t="s">
        <v>891</v>
      </c>
      <c r="B1880" s="124"/>
      <c r="C1880" s="93"/>
      <c r="D1880" s="93"/>
      <c r="E1880" s="93"/>
      <c r="F1880" s="93"/>
      <c r="G1880" s="124"/>
      <c r="H1880" s="124"/>
      <c r="I1880" s="595"/>
      <c r="J1880" s="595"/>
      <c r="K1880" s="93"/>
      <c r="L1880" s="596" t="s">
        <v>216</v>
      </c>
    </row>
    <row r="1881" spans="1:12" s="90" customFormat="1" ht="28.5">
      <c r="A1881" s="96"/>
      <c r="B1881" s="97" t="s">
        <v>104</v>
      </c>
      <c r="C1881" s="86" t="s">
        <v>227</v>
      </c>
      <c r="D1881" s="86" t="s">
        <v>844</v>
      </c>
      <c r="E1881" s="86" t="s">
        <v>303</v>
      </c>
      <c r="F1881" s="87" t="s">
        <v>304</v>
      </c>
      <c r="G1881" s="96">
        <v>165</v>
      </c>
      <c r="H1881" s="97" t="s">
        <v>105</v>
      </c>
      <c r="I1881" s="86" t="s">
        <v>227</v>
      </c>
      <c r="J1881" s="86" t="s">
        <v>844</v>
      </c>
      <c r="K1881" s="86" t="s">
        <v>303</v>
      </c>
      <c r="L1881" s="87" t="s">
        <v>304</v>
      </c>
    </row>
    <row r="1882" spans="1:12" s="90" customFormat="1" ht="15">
      <c r="A1882" s="99" t="s">
        <v>23</v>
      </c>
      <c r="B1882" s="100" t="s">
        <v>108</v>
      </c>
      <c r="C1882" s="101">
        <f>+C1883+C1885+C1886+C1887</f>
        <v>1440710</v>
      </c>
      <c r="D1882" s="101">
        <f>+D1883+D1885+D1886+D1887</f>
        <v>1440710</v>
      </c>
      <c r="E1882" s="101">
        <f>+E1883+E1885+E1886+E1887</f>
        <v>0</v>
      </c>
      <c r="F1882" s="102">
        <f>+E1882/D1882</f>
        <v>0</v>
      </c>
      <c r="G1882" s="99" t="s">
        <v>23</v>
      </c>
      <c r="H1882" s="100" t="s">
        <v>129</v>
      </c>
      <c r="I1882" s="101">
        <f>SUM(I1883:I1887)</f>
        <v>1440710</v>
      </c>
      <c r="J1882" s="101">
        <f>SUM(J1883:J1887)</f>
        <v>1440710</v>
      </c>
      <c r="K1882" s="101">
        <f>SUM(K1883:K1887)</f>
        <v>0</v>
      </c>
      <c r="L1882" s="102">
        <f>+K1882/J1882</f>
        <v>0</v>
      </c>
    </row>
    <row r="1883" spans="1:12" s="90" customFormat="1" ht="15">
      <c r="A1883" s="99" t="s">
        <v>111</v>
      </c>
      <c r="B1883" s="116" t="s">
        <v>209</v>
      </c>
      <c r="C1883" s="106">
        <f>+C1884</f>
        <v>1440710</v>
      </c>
      <c r="D1883" s="106">
        <f>+D1884</f>
        <v>1440710</v>
      </c>
      <c r="E1883" s="106">
        <f>E1884</f>
        <v>0</v>
      </c>
      <c r="F1883" s="599">
        <f>+E1883/D1883</f>
        <v>0</v>
      </c>
      <c r="G1883" s="99" t="s">
        <v>111</v>
      </c>
      <c r="H1883" s="116" t="s">
        <v>80</v>
      </c>
      <c r="I1883" s="106">
        <v>800000</v>
      </c>
      <c r="J1883" s="106">
        <v>800000</v>
      </c>
      <c r="K1883" s="106">
        <v>0</v>
      </c>
      <c r="L1883" s="599">
        <f>+K1883/J1883</f>
        <v>0</v>
      </c>
    </row>
    <row r="1884" spans="1:12" s="90" customFormat="1" ht="15">
      <c r="A1884" s="99"/>
      <c r="B1884" s="116" t="s">
        <v>210</v>
      </c>
      <c r="C1884" s="106">
        <v>1440710</v>
      </c>
      <c r="D1884" s="106">
        <v>1440710</v>
      </c>
      <c r="E1884" s="106">
        <v>0</v>
      </c>
      <c r="F1884" s="599">
        <f>+E1884/D1884</f>
        <v>0</v>
      </c>
      <c r="G1884" s="99" t="s">
        <v>112</v>
      </c>
      <c r="H1884" s="116" t="s">
        <v>147</v>
      </c>
      <c r="I1884" s="106">
        <v>140000</v>
      </c>
      <c r="J1884" s="106">
        <v>140000</v>
      </c>
      <c r="K1884" s="106">
        <v>0</v>
      </c>
      <c r="L1884" s="599">
        <f>+K1884/J1884</f>
        <v>0</v>
      </c>
    </row>
    <row r="1885" spans="1:12" s="90" customFormat="1" ht="15">
      <c r="A1885" s="99" t="s">
        <v>112</v>
      </c>
      <c r="B1885" s="116" t="s">
        <v>9</v>
      </c>
      <c r="C1885" s="106"/>
      <c r="D1885" s="106"/>
      <c r="E1885" s="106"/>
      <c r="F1885" s="599"/>
      <c r="G1885" s="99" t="s">
        <v>113</v>
      </c>
      <c r="H1885" s="116" t="s">
        <v>83</v>
      </c>
      <c r="I1885" s="106">
        <v>500710</v>
      </c>
      <c r="J1885" s="106">
        <v>500710</v>
      </c>
      <c r="K1885" s="106">
        <v>0</v>
      </c>
      <c r="L1885" s="599">
        <f>+K1885/J1885+IF(L1885=0/0,0%)</f>
        <v>0</v>
      </c>
    </row>
    <row r="1886" spans="1:12" s="90" customFormat="1" ht="15">
      <c r="A1886" s="99" t="s">
        <v>113</v>
      </c>
      <c r="B1886" s="116" t="s">
        <v>170</v>
      </c>
      <c r="C1886" s="106"/>
      <c r="D1886" s="106"/>
      <c r="E1886" s="106"/>
      <c r="F1886" s="599"/>
      <c r="G1886" s="99" t="s">
        <v>114</v>
      </c>
      <c r="H1886" s="116" t="s">
        <v>84</v>
      </c>
      <c r="I1886" s="106"/>
      <c r="J1886" s="106"/>
      <c r="K1886" s="106"/>
      <c r="L1886" s="599"/>
    </row>
    <row r="1887" spans="1:12" s="90" customFormat="1" ht="15">
      <c r="A1887" s="99" t="s">
        <v>114</v>
      </c>
      <c r="B1887" s="116" t="s">
        <v>181</v>
      </c>
      <c r="C1887" s="106"/>
      <c r="D1887" s="106"/>
      <c r="E1887" s="106"/>
      <c r="F1887" s="599"/>
      <c r="G1887" s="99" t="s">
        <v>115</v>
      </c>
      <c r="H1887" s="116" t="s">
        <v>211</v>
      </c>
      <c r="I1887" s="106"/>
      <c r="J1887" s="106"/>
      <c r="K1887" s="106"/>
      <c r="L1887" s="599"/>
    </row>
    <row r="1888" spans="1:12" s="90" customFormat="1" ht="15">
      <c r="A1888" s="112" t="s">
        <v>45</v>
      </c>
      <c r="B1888" s="100" t="s">
        <v>118</v>
      </c>
      <c r="C1888" s="101"/>
      <c r="D1888" s="101"/>
      <c r="E1888" s="101"/>
      <c r="F1888" s="102"/>
      <c r="G1888" s="112" t="s">
        <v>45</v>
      </c>
      <c r="H1888" s="100" t="s">
        <v>130</v>
      </c>
      <c r="I1888" s="101"/>
      <c r="J1888" s="101"/>
      <c r="K1888" s="101"/>
      <c r="L1888" s="102"/>
    </row>
    <row r="1889" spans="1:12" s="90" customFormat="1" ht="15">
      <c r="A1889" s="112" t="s">
        <v>111</v>
      </c>
      <c r="B1889" s="100" t="s">
        <v>106</v>
      </c>
      <c r="C1889" s="106"/>
      <c r="D1889" s="106"/>
      <c r="E1889" s="106"/>
      <c r="F1889" s="599"/>
      <c r="G1889" s="112" t="s">
        <v>111</v>
      </c>
      <c r="H1889" s="100" t="s">
        <v>131</v>
      </c>
      <c r="I1889" s="106"/>
      <c r="J1889" s="106"/>
      <c r="K1889" s="106"/>
      <c r="L1889" s="599"/>
    </row>
    <row r="1890" spans="1:12" s="90" customFormat="1" ht="15">
      <c r="A1890" s="112" t="s">
        <v>112</v>
      </c>
      <c r="B1890" s="100" t="s">
        <v>39</v>
      </c>
      <c r="C1890" s="106"/>
      <c r="D1890" s="106"/>
      <c r="E1890" s="106"/>
      <c r="F1890" s="599"/>
      <c r="G1890" s="112" t="s">
        <v>112</v>
      </c>
      <c r="H1890" s="100" t="s">
        <v>87</v>
      </c>
      <c r="I1890" s="106"/>
      <c r="J1890" s="106"/>
      <c r="K1890" s="106"/>
      <c r="L1890" s="599"/>
    </row>
    <row r="1891" spans="1:12" s="90" customFormat="1" ht="15">
      <c r="A1891" s="112" t="s">
        <v>113</v>
      </c>
      <c r="B1891" s="100" t="s">
        <v>201</v>
      </c>
      <c r="C1891" s="106"/>
      <c r="D1891" s="106"/>
      <c r="E1891" s="106"/>
      <c r="F1891" s="599"/>
      <c r="G1891" s="112" t="s">
        <v>113</v>
      </c>
      <c r="H1891" s="100" t="s">
        <v>90</v>
      </c>
      <c r="I1891" s="106"/>
      <c r="J1891" s="106"/>
      <c r="K1891" s="106"/>
      <c r="L1891" s="599"/>
    </row>
    <row r="1892" spans="1:12" s="90" customFormat="1" ht="15">
      <c r="A1892" s="112" t="s">
        <v>56</v>
      </c>
      <c r="B1892" s="100" t="s">
        <v>126</v>
      </c>
      <c r="C1892" s="101"/>
      <c r="D1892" s="101"/>
      <c r="E1892" s="101"/>
      <c r="F1892" s="102"/>
      <c r="G1892" s="112" t="s">
        <v>56</v>
      </c>
      <c r="H1892" s="100" t="s">
        <v>132</v>
      </c>
      <c r="I1892" s="101"/>
      <c r="J1892" s="101"/>
      <c r="K1892" s="101"/>
      <c r="L1892" s="102"/>
    </row>
    <row r="1893" spans="1:12" s="90" customFormat="1" ht="15">
      <c r="A1893" s="99" t="s">
        <v>64</v>
      </c>
      <c r="B1893" s="116" t="s">
        <v>127</v>
      </c>
      <c r="C1893" s="101"/>
      <c r="D1893" s="101"/>
      <c r="E1893" s="101"/>
      <c r="F1893" s="102"/>
      <c r="G1893" s="99" t="s">
        <v>64</v>
      </c>
      <c r="H1893" s="116" t="s">
        <v>133</v>
      </c>
      <c r="I1893" s="101"/>
      <c r="J1893" s="101"/>
      <c r="K1893" s="101"/>
      <c r="L1893" s="102"/>
    </row>
    <row r="1894" spans="1:12" s="90" customFormat="1" ht="15.75" thickBot="1">
      <c r="A1894" s="117"/>
      <c r="B1894" s="118" t="s">
        <v>148</v>
      </c>
      <c r="C1894" s="88">
        <f>+C1893+C1892+C1888+C1882</f>
        <v>1440710</v>
      </c>
      <c r="D1894" s="88">
        <f>+D1893+D1892+D1888+D1882</f>
        <v>1440710</v>
      </c>
      <c r="E1894" s="88">
        <f>+E1882+E1888+E1892+E1893</f>
        <v>0</v>
      </c>
      <c r="F1894" s="119">
        <f>+E1894/D1894</f>
        <v>0</v>
      </c>
      <c r="G1894" s="117"/>
      <c r="H1894" s="118" t="s">
        <v>149</v>
      </c>
      <c r="I1894" s="88">
        <f>+I1893+I1892+I1888+I1882</f>
        <v>1440710</v>
      </c>
      <c r="J1894" s="88">
        <f>+J1893+J1892+J1888+J1882</f>
        <v>1440710</v>
      </c>
      <c r="K1894" s="88">
        <f>+K1893+K1892+K1888+K1882</f>
        <v>0</v>
      </c>
      <c r="L1894" s="119">
        <f>+K1894/J1894</f>
        <v>0</v>
      </c>
    </row>
    <row r="1895" spans="1:12" s="90" customFormat="1" ht="15">
      <c r="A1895" s="124"/>
      <c r="B1895" s="124"/>
      <c r="C1895" s="93"/>
      <c r="D1895" s="93"/>
      <c r="E1895" s="93"/>
      <c r="F1895" s="93"/>
      <c r="G1895" s="124"/>
      <c r="H1895" s="124"/>
      <c r="I1895" s="93"/>
      <c r="J1895" s="93"/>
      <c r="K1895" s="93"/>
      <c r="L1895" s="93"/>
    </row>
    <row r="1896" spans="1:12" s="90" customFormat="1" ht="15.75" thickBot="1">
      <c r="A1896" s="90" t="s">
        <v>892</v>
      </c>
      <c r="B1896" s="124"/>
      <c r="C1896" s="93"/>
      <c r="D1896" s="93"/>
      <c r="E1896" s="93"/>
      <c r="F1896" s="93"/>
      <c r="G1896" s="124"/>
      <c r="H1896" s="124"/>
      <c r="I1896" s="595"/>
      <c r="J1896" s="595"/>
      <c r="K1896" s="93"/>
      <c r="L1896" s="596" t="s">
        <v>216</v>
      </c>
    </row>
    <row r="1897" spans="1:12" s="90" customFormat="1" ht="28.5">
      <c r="A1897" s="96"/>
      <c r="B1897" s="97" t="s">
        <v>104</v>
      </c>
      <c r="C1897" s="86" t="s">
        <v>227</v>
      </c>
      <c r="D1897" s="86" t="s">
        <v>844</v>
      </c>
      <c r="E1897" s="86" t="s">
        <v>303</v>
      </c>
      <c r="F1897" s="87" t="s">
        <v>304</v>
      </c>
      <c r="G1897" s="96">
        <v>164</v>
      </c>
      <c r="H1897" s="97" t="s">
        <v>105</v>
      </c>
      <c r="I1897" s="86" t="s">
        <v>227</v>
      </c>
      <c r="J1897" s="86" t="s">
        <v>844</v>
      </c>
      <c r="K1897" s="86" t="s">
        <v>303</v>
      </c>
      <c r="L1897" s="87" t="s">
        <v>304</v>
      </c>
    </row>
    <row r="1898" spans="1:12" s="90" customFormat="1" ht="15">
      <c r="A1898" s="99" t="s">
        <v>23</v>
      </c>
      <c r="B1898" s="100" t="s">
        <v>108</v>
      </c>
      <c r="C1898" s="101">
        <f>+C1899+C1901+C1902+C1903</f>
        <v>2571000</v>
      </c>
      <c r="D1898" s="101">
        <f>+D1899+D1901+D1902+D1903</f>
        <v>2571000</v>
      </c>
      <c r="E1898" s="101">
        <f>+E1899+E1901+E1902+E1903</f>
        <v>0</v>
      </c>
      <c r="F1898" s="102">
        <f>+E1898/D1898</f>
        <v>0</v>
      </c>
      <c r="G1898" s="99" t="s">
        <v>23</v>
      </c>
      <c r="H1898" s="100" t="s">
        <v>129</v>
      </c>
      <c r="I1898" s="101">
        <f>SUM(I1899:I1903)</f>
        <v>2571000</v>
      </c>
      <c r="J1898" s="101">
        <f>SUM(J1899:J1903)</f>
        <v>2571000</v>
      </c>
      <c r="K1898" s="101">
        <f>SUM(K1899:K1903)</f>
        <v>786382</v>
      </c>
      <c r="L1898" s="102">
        <f>+K1898/J1898</f>
        <v>0.30586619992220926</v>
      </c>
    </row>
    <row r="1899" spans="1:12" s="90" customFormat="1" ht="15">
      <c r="A1899" s="99" t="s">
        <v>111</v>
      </c>
      <c r="B1899" s="116" t="s">
        <v>209</v>
      </c>
      <c r="C1899" s="106">
        <f>+C1900</f>
        <v>2571000</v>
      </c>
      <c r="D1899" s="106">
        <f>+D1900</f>
        <v>2571000</v>
      </c>
      <c r="E1899" s="106">
        <f>E1900</f>
        <v>0</v>
      </c>
      <c r="F1899" s="599">
        <f>+E1899/D1899</f>
        <v>0</v>
      </c>
      <c r="G1899" s="99" t="s">
        <v>111</v>
      </c>
      <c r="H1899" s="116" t="s">
        <v>80</v>
      </c>
      <c r="I1899" s="106">
        <v>2120000</v>
      </c>
      <c r="J1899" s="106">
        <v>2120000</v>
      </c>
      <c r="K1899" s="106">
        <v>680850</v>
      </c>
      <c r="L1899" s="599">
        <f>+K1899/J1899</f>
        <v>0.3211556603773585</v>
      </c>
    </row>
    <row r="1900" spans="1:12" s="90" customFormat="1" ht="15">
      <c r="A1900" s="99"/>
      <c r="B1900" s="116" t="s">
        <v>210</v>
      </c>
      <c r="C1900" s="106">
        <v>2571000</v>
      </c>
      <c r="D1900" s="106">
        <v>2571000</v>
      </c>
      <c r="E1900" s="106">
        <v>0</v>
      </c>
      <c r="F1900" s="599">
        <f>+E1900/D1900</f>
        <v>0</v>
      </c>
      <c r="G1900" s="99" t="s">
        <v>112</v>
      </c>
      <c r="H1900" s="116" t="s">
        <v>147</v>
      </c>
      <c r="I1900" s="106">
        <v>371000</v>
      </c>
      <c r="J1900" s="106">
        <v>371000</v>
      </c>
      <c r="K1900" s="106">
        <v>105532</v>
      </c>
      <c r="L1900" s="599">
        <f>+K1900/J1900</f>
        <v>0.28445283018867923</v>
      </c>
    </row>
    <row r="1901" spans="1:12" s="90" customFormat="1" ht="15">
      <c r="A1901" s="99" t="s">
        <v>112</v>
      </c>
      <c r="B1901" s="116" t="s">
        <v>9</v>
      </c>
      <c r="C1901" s="106"/>
      <c r="D1901" s="106"/>
      <c r="E1901" s="106"/>
      <c r="F1901" s="599"/>
      <c r="G1901" s="99" t="s">
        <v>113</v>
      </c>
      <c r="H1901" s="116" t="s">
        <v>83</v>
      </c>
      <c r="I1901" s="106">
        <v>80000</v>
      </c>
      <c r="J1901" s="106">
        <v>80000</v>
      </c>
      <c r="K1901" s="106">
        <v>0</v>
      </c>
      <c r="L1901" s="599">
        <f>+K1901/J1901</f>
        <v>0</v>
      </c>
    </row>
    <row r="1902" spans="1:12" s="90" customFormat="1" ht="15">
      <c r="A1902" s="99" t="s">
        <v>113</v>
      </c>
      <c r="B1902" s="116" t="s">
        <v>170</v>
      </c>
      <c r="C1902" s="106"/>
      <c r="D1902" s="106"/>
      <c r="E1902" s="106"/>
      <c r="F1902" s="599"/>
      <c r="G1902" s="99" t="s">
        <v>114</v>
      </c>
      <c r="H1902" s="116" t="s">
        <v>84</v>
      </c>
      <c r="I1902" s="106"/>
      <c r="J1902" s="106"/>
      <c r="K1902" s="106"/>
      <c r="L1902" s="599"/>
    </row>
    <row r="1903" spans="1:12" s="90" customFormat="1" ht="15">
      <c r="A1903" s="99" t="s">
        <v>114</v>
      </c>
      <c r="B1903" s="116" t="s">
        <v>181</v>
      </c>
      <c r="C1903" s="106"/>
      <c r="D1903" s="106"/>
      <c r="E1903" s="106"/>
      <c r="F1903" s="599"/>
      <c r="G1903" s="99" t="s">
        <v>115</v>
      </c>
      <c r="H1903" s="116" t="s">
        <v>211</v>
      </c>
      <c r="I1903" s="106"/>
      <c r="J1903" s="106"/>
      <c r="K1903" s="106"/>
      <c r="L1903" s="599"/>
    </row>
    <row r="1904" spans="1:12" s="90" customFormat="1" ht="15">
      <c r="A1904" s="112" t="s">
        <v>45</v>
      </c>
      <c r="B1904" s="100" t="s">
        <v>118</v>
      </c>
      <c r="C1904" s="101"/>
      <c r="D1904" s="101"/>
      <c r="E1904" s="101"/>
      <c r="F1904" s="102"/>
      <c r="G1904" s="112" t="s">
        <v>45</v>
      </c>
      <c r="H1904" s="100" t="s">
        <v>130</v>
      </c>
      <c r="I1904" s="101"/>
      <c r="J1904" s="101"/>
      <c r="K1904" s="101"/>
      <c r="L1904" s="102"/>
    </row>
    <row r="1905" spans="1:12" s="90" customFormat="1" ht="15">
      <c r="A1905" s="112" t="s">
        <v>111</v>
      </c>
      <c r="B1905" s="100" t="s">
        <v>106</v>
      </c>
      <c r="C1905" s="106"/>
      <c r="D1905" s="106"/>
      <c r="E1905" s="106"/>
      <c r="F1905" s="599"/>
      <c r="G1905" s="112" t="s">
        <v>111</v>
      </c>
      <c r="H1905" s="100" t="s">
        <v>131</v>
      </c>
      <c r="I1905" s="106"/>
      <c r="J1905" s="106"/>
      <c r="K1905" s="106"/>
      <c r="L1905" s="599"/>
    </row>
    <row r="1906" spans="1:12" s="90" customFormat="1" ht="15">
      <c r="A1906" s="112" t="s">
        <v>112</v>
      </c>
      <c r="B1906" s="100" t="s">
        <v>39</v>
      </c>
      <c r="C1906" s="106"/>
      <c r="D1906" s="106"/>
      <c r="E1906" s="106"/>
      <c r="F1906" s="599"/>
      <c r="G1906" s="112" t="s">
        <v>112</v>
      </c>
      <c r="H1906" s="100" t="s">
        <v>87</v>
      </c>
      <c r="I1906" s="106"/>
      <c r="J1906" s="106"/>
      <c r="K1906" s="106"/>
      <c r="L1906" s="599"/>
    </row>
    <row r="1907" spans="1:12" s="90" customFormat="1" ht="15">
      <c r="A1907" s="112" t="s">
        <v>113</v>
      </c>
      <c r="B1907" s="100" t="s">
        <v>201</v>
      </c>
      <c r="C1907" s="106"/>
      <c r="D1907" s="106"/>
      <c r="E1907" s="106"/>
      <c r="F1907" s="599"/>
      <c r="G1907" s="112" t="s">
        <v>113</v>
      </c>
      <c r="H1907" s="100" t="s">
        <v>90</v>
      </c>
      <c r="I1907" s="106"/>
      <c r="J1907" s="106"/>
      <c r="K1907" s="106"/>
      <c r="L1907" s="599"/>
    </row>
    <row r="1908" spans="1:12" s="90" customFormat="1" ht="15">
      <c r="A1908" s="112" t="s">
        <v>56</v>
      </c>
      <c r="B1908" s="100" t="s">
        <v>126</v>
      </c>
      <c r="C1908" s="101"/>
      <c r="D1908" s="101"/>
      <c r="E1908" s="101"/>
      <c r="F1908" s="102"/>
      <c r="G1908" s="112" t="s">
        <v>56</v>
      </c>
      <c r="H1908" s="100" t="s">
        <v>132</v>
      </c>
      <c r="I1908" s="101"/>
      <c r="J1908" s="101"/>
      <c r="K1908" s="101"/>
      <c r="L1908" s="102"/>
    </row>
    <row r="1909" spans="1:12" s="90" customFormat="1" ht="15">
      <c r="A1909" s="99" t="s">
        <v>64</v>
      </c>
      <c r="B1909" s="116" t="s">
        <v>127</v>
      </c>
      <c r="C1909" s="101"/>
      <c r="D1909" s="101"/>
      <c r="E1909" s="101"/>
      <c r="F1909" s="102"/>
      <c r="G1909" s="99" t="s">
        <v>64</v>
      </c>
      <c r="H1909" s="116" t="s">
        <v>133</v>
      </c>
      <c r="I1909" s="101"/>
      <c r="J1909" s="101"/>
      <c r="K1909" s="101"/>
      <c r="L1909" s="102"/>
    </row>
    <row r="1910" spans="1:12" s="90" customFormat="1" ht="15.75" thickBot="1">
      <c r="A1910" s="117"/>
      <c r="B1910" s="118" t="s">
        <v>148</v>
      </c>
      <c r="C1910" s="88">
        <f>+C1909+C1908+C1904+C1898</f>
        <v>2571000</v>
      </c>
      <c r="D1910" s="88">
        <f>+D1909+D1908+D1904+D1898</f>
        <v>2571000</v>
      </c>
      <c r="E1910" s="88">
        <f>+E1898+E1904+E1908+E1909</f>
        <v>0</v>
      </c>
      <c r="F1910" s="119">
        <f>+E1910/D1910</f>
        <v>0</v>
      </c>
      <c r="G1910" s="117"/>
      <c r="H1910" s="118" t="s">
        <v>149</v>
      </c>
      <c r="I1910" s="88">
        <f>+I1909+I1908+I1904+I1898</f>
        <v>2571000</v>
      </c>
      <c r="J1910" s="88">
        <f>+J1909+J1908+J1904+J1898</f>
        <v>2571000</v>
      </c>
      <c r="K1910" s="88">
        <f>+K1909+K1908+K1904+K1898</f>
        <v>786382</v>
      </c>
      <c r="L1910" s="119">
        <f>+K1910/J1910</f>
        <v>0.30586619992220926</v>
      </c>
    </row>
    <row r="1911" spans="1:12" s="90" customFormat="1" ht="15">
      <c r="A1911" s="124"/>
      <c r="B1911" s="124"/>
      <c r="C1911" s="93"/>
      <c r="D1911" s="93"/>
      <c r="E1911" s="93"/>
      <c r="F1911" s="93"/>
      <c r="G1911" s="124"/>
      <c r="H1911" s="124"/>
      <c r="I1911" s="93"/>
      <c r="J1911" s="93"/>
      <c r="K1911" s="93"/>
      <c r="L1911" s="93"/>
    </row>
    <row r="1912" spans="1:12" s="90" customFormat="1" ht="15.75" thickBot="1">
      <c r="A1912" s="90" t="s">
        <v>893</v>
      </c>
      <c r="B1912" s="124"/>
      <c r="C1912" s="93"/>
      <c r="D1912" s="93"/>
      <c r="E1912" s="93"/>
      <c r="F1912" s="93"/>
      <c r="G1912" s="124"/>
      <c r="H1912" s="124"/>
      <c r="I1912" s="595"/>
      <c r="J1912" s="595"/>
      <c r="K1912" s="93"/>
      <c r="L1912" s="596" t="s">
        <v>216</v>
      </c>
    </row>
    <row r="1913" spans="1:12" s="90" customFormat="1" ht="28.5">
      <c r="A1913" s="96"/>
      <c r="B1913" s="97" t="s">
        <v>104</v>
      </c>
      <c r="C1913" s="86" t="s">
        <v>227</v>
      </c>
      <c r="D1913" s="86" t="s">
        <v>844</v>
      </c>
      <c r="E1913" s="86" t="s">
        <v>303</v>
      </c>
      <c r="F1913" s="87" t="s">
        <v>304</v>
      </c>
      <c r="G1913" s="96">
        <v>159</v>
      </c>
      <c r="H1913" s="97" t="s">
        <v>105</v>
      </c>
      <c r="I1913" s="86" t="s">
        <v>227</v>
      </c>
      <c r="J1913" s="86" t="s">
        <v>844</v>
      </c>
      <c r="K1913" s="86" t="s">
        <v>303</v>
      </c>
      <c r="L1913" s="87" t="s">
        <v>304</v>
      </c>
    </row>
    <row r="1914" spans="1:12" s="90" customFormat="1" ht="15">
      <c r="A1914" s="99" t="s">
        <v>23</v>
      </c>
      <c r="B1914" s="100" t="s">
        <v>108</v>
      </c>
      <c r="C1914" s="101">
        <f>+C1915+C1917+C1918+C1919</f>
        <v>1834455</v>
      </c>
      <c r="D1914" s="101">
        <f>+D1915+D1917+D1918+D1919</f>
        <v>1834455</v>
      </c>
      <c r="E1914" s="101">
        <f>+E1915+E1917+E1918+E1919</f>
        <v>0</v>
      </c>
      <c r="F1914" s="102">
        <f>+E1914/D1914</f>
        <v>0</v>
      </c>
      <c r="G1914" s="99" t="s">
        <v>23</v>
      </c>
      <c r="H1914" s="100" t="s">
        <v>129</v>
      </c>
      <c r="I1914" s="101">
        <f>SUM(I1915:I1919)</f>
        <v>1834455</v>
      </c>
      <c r="J1914" s="101">
        <f>SUM(J1915:J1919)</f>
        <v>1834455</v>
      </c>
      <c r="K1914" s="101">
        <f>SUM(K1915:K1919)</f>
        <v>0</v>
      </c>
      <c r="L1914" s="102">
        <f>+K1914/J1914</f>
        <v>0</v>
      </c>
    </row>
    <row r="1915" spans="1:12" s="90" customFormat="1" ht="15">
      <c r="A1915" s="99" t="s">
        <v>111</v>
      </c>
      <c r="B1915" s="116" t="s">
        <v>209</v>
      </c>
      <c r="C1915" s="106">
        <f>+C1916</f>
        <v>1834455</v>
      </c>
      <c r="D1915" s="106">
        <f>+D1916</f>
        <v>1834455</v>
      </c>
      <c r="E1915" s="106">
        <f>E1916</f>
        <v>0</v>
      </c>
      <c r="F1915" s="599">
        <f>+E1915/D1915</f>
        <v>0</v>
      </c>
      <c r="G1915" s="99" t="s">
        <v>111</v>
      </c>
      <c r="H1915" s="116" t="s">
        <v>80</v>
      </c>
      <c r="I1915" s="106">
        <v>1104434</v>
      </c>
      <c r="J1915" s="106">
        <v>1104434</v>
      </c>
      <c r="K1915" s="106">
        <v>0</v>
      </c>
      <c r="L1915" s="599">
        <f>+K1915/J1915</f>
        <v>0</v>
      </c>
    </row>
    <row r="1916" spans="1:12" s="90" customFormat="1" ht="15">
      <c r="A1916" s="99"/>
      <c r="B1916" s="116" t="s">
        <v>210</v>
      </c>
      <c r="C1916" s="106">
        <v>1834455</v>
      </c>
      <c r="D1916" s="106">
        <v>1834455</v>
      </c>
      <c r="E1916" s="106">
        <v>0</v>
      </c>
      <c r="F1916" s="599">
        <f>+E1916/D1916</f>
        <v>0</v>
      </c>
      <c r="G1916" s="99" t="s">
        <v>112</v>
      </c>
      <c r="H1916" s="116" t="s">
        <v>147</v>
      </c>
      <c r="I1916" s="106">
        <v>242976</v>
      </c>
      <c r="J1916" s="106">
        <v>242976</v>
      </c>
      <c r="K1916" s="106">
        <v>0</v>
      </c>
      <c r="L1916" s="599">
        <f>+K1916/J1916</f>
        <v>0</v>
      </c>
    </row>
    <row r="1917" spans="1:12" s="90" customFormat="1" ht="15">
      <c r="A1917" s="99" t="s">
        <v>112</v>
      </c>
      <c r="B1917" s="116" t="s">
        <v>9</v>
      </c>
      <c r="C1917" s="106"/>
      <c r="D1917" s="106"/>
      <c r="E1917" s="106"/>
      <c r="F1917" s="599"/>
      <c r="G1917" s="99" t="s">
        <v>113</v>
      </c>
      <c r="H1917" s="116" t="s">
        <v>83</v>
      </c>
      <c r="I1917" s="106">
        <v>487045</v>
      </c>
      <c r="J1917" s="106">
        <v>487045</v>
      </c>
      <c r="K1917" s="106">
        <v>0</v>
      </c>
      <c r="L1917" s="599">
        <f>+K1917/J1917+IF(L1917=0/0,0%)</f>
        <v>0</v>
      </c>
    </row>
    <row r="1918" spans="1:12" s="90" customFormat="1" ht="15">
      <c r="A1918" s="99" t="s">
        <v>113</v>
      </c>
      <c r="B1918" s="116" t="s">
        <v>170</v>
      </c>
      <c r="C1918" s="106"/>
      <c r="D1918" s="106"/>
      <c r="E1918" s="106"/>
      <c r="F1918" s="599"/>
      <c r="G1918" s="99" t="s">
        <v>114</v>
      </c>
      <c r="H1918" s="116" t="s">
        <v>84</v>
      </c>
      <c r="I1918" s="106"/>
      <c r="J1918" s="106"/>
      <c r="K1918" s="106"/>
      <c r="L1918" s="599"/>
    </row>
    <row r="1919" spans="1:12" s="90" customFormat="1" ht="15">
      <c r="A1919" s="99" t="s">
        <v>114</v>
      </c>
      <c r="B1919" s="116" t="s">
        <v>181</v>
      </c>
      <c r="C1919" s="106"/>
      <c r="D1919" s="106"/>
      <c r="E1919" s="106"/>
      <c r="F1919" s="599"/>
      <c r="G1919" s="99" t="s">
        <v>115</v>
      </c>
      <c r="H1919" s="116" t="s">
        <v>211</v>
      </c>
      <c r="I1919" s="106"/>
      <c r="J1919" s="106"/>
      <c r="K1919" s="106"/>
      <c r="L1919" s="599"/>
    </row>
    <row r="1920" spans="1:12" s="90" customFormat="1" ht="15">
      <c r="A1920" s="112" t="s">
        <v>45</v>
      </c>
      <c r="B1920" s="100" t="s">
        <v>118</v>
      </c>
      <c r="C1920" s="101"/>
      <c r="D1920" s="101"/>
      <c r="E1920" s="101"/>
      <c r="F1920" s="102"/>
      <c r="G1920" s="112" t="s">
        <v>45</v>
      </c>
      <c r="H1920" s="100" t="s">
        <v>130</v>
      </c>
      <c r="I1920" s="101"/>
      <c r="J1920" s="101"/>
      <c r="K1920" s="101"/>
      <c r="L1920" s="102"/>
    </row>
    <row r="1921" spans="1:12" s="90" customFormat="1" ht="15">
      <c r="A1921" s="112" t="s">
        <v>111</v>
      </c>
      <c r="B1921" s="100" t="s">
        <v>106</v>
      </c>
      <c r="C1921" s="106"/>
      <c r="D1921" s="106"/>
      <c r="E1921" s="106"/>
      <c r="F1921" s="599"/>
      <c r="G1921" s="112" t="s">
        <v>111</v>
      </c>
      <c r="H1921" s="100" t="s">
        <v>131</v>
      </c>
      <c r="I1921" s="106"/>
      <c r="J1921" s="106"/>
      <c r="K1921" s="106"/>
      <c r="L1921" s="599"/>
    </row>
    <row r="1922" spans="1:12" s="90" customFormat="1" ht="15">
      <c r="A1922" s="112" t="s">
        <v>112</v>
      </c>
      <c r="B1922" s="100" t="s">
        <v>39</v>
      </c>
      <c r="C1922" s="106"/>
      <c r="D1922" s="106"/>
      <c r="E1922" s="106"/>
      <c r="F1922" s="599"/>
      <c r="G1922" s="112" t="s">
        <v>112</v>
      </c>
      <c r="H1922" s="100" t="s">
        <v>87</v>
      </c>
      <c r="I1922" s="106"/>
      <c r="J1922" s="106"/>
      <c r="K1922" s="106"/>
      <c r="L1922" s="599"/>
    </row>
    <row r="1923" spans="1:12" s="90" customFormat="1" ht="15">
      <c r="A1923" s="112" t="s">
        <v>113</v>
      </c>
      <c r="B1923" s="100" t="s">
        <v>201</v>
      </c>
      <c r="C1923" s="106"/>
      <c r="D1923" s="106"/>
      <c r="E1923" s="106"/>
      <c r="F1923" s="599"/>
      <c r="G1923" s="112" t="s">
        <v>113</v>
      </c>
      <c r="H1923" s="100" t="s">
        <v>90</v>
      </c>
      <c r="I1923" s="106"/>
      <c r="J1923" s="106"/>
      <c r="K1923" s="106"/>
      <c r="L1923" s="599"/>
    </row>
    <row r="1924" spans="1:12" s="90" customFormat="1" ht="15">
      <c r="A1924" s="112" t="s">
        <v>56</v>
      </c>
      <c r="B1924" s="100" t="s">
        <v>126</v>
      </c>
      <c r="C1924" s="101"/>
      <c r="D1924" s="101"/>
      <c r="E1924" s="101"/>
      <c r="F1924" s="102"/>
      <c r="G1924" s="112" t="s">
        <v>56</v>
      </c>
      <c r="H1924" s="100" t="s">
        <v>132</v>
      </c>
      <c r="I1924" s="101"/>
      <c r="J1924" s="101"/>
      <c r="K1924" s="101"/>
      <c r="L1924" s="102"/>
    </row>
    <row r="1925" spans="1:12" s="90" customFormat="1" ht="15">
      <c r="A1925" s="99" t="s">
        <v>64</v>
      </c>
      <c r="B1925" s="116" t="s">
        <v>127</v>
      </c>
      <c r="C1925" s="101"/>
      <c r="D1925" s="101"/>
      <c r="E1925" s="101"/>
      <c r="F1925" s="102"/>
      <c r="G1925" s="99" t="s">
        <v>64</v>
      </c>
      <c r="H1925" s="116" t="s">
        <v>133</v>
      </c>
      <c r="I1925" s="101"/>
      <c r="J1925" s="101"/>
      <c r="K1925" s="101"/>
      <c r="L1925" s="102"/>
    </row>
    <row r="1926" spans="1:12" s="90" customFormat="1" ht="15.75" thickBot="1">
      <c r="A1926" s="117"/>
      <c r="B1926" s="118" t="s">
        <v>148</v>
      </c>
      <c r="C1926" s="88">
        <f>+C1925+C1924+C1920+C1914</f>
        <v>1834455</v>
      </c>
      <c r="D1926" s="88">
        <f>+D1925+D1924+D1920+D1914</f>
        <v>1834455</v>
      </c>
      <c r="E1926" s="88">
        <f>+E1914+E1920+E1924+E1925</f>
        <v>0</v>
      </c>
      <c r="F1926" s="119">
        <f>+E1926/D1926</f>
        <v>0</v>
      </c>
      <c r="G1926" s="117"/>
      <c r="H1926" s="118" t="s">
        <v>149</v>
      </c>
      <c r="I1926" s="88">
        <f>+I1925+I1924+I1920+I1914</f>
        <v>1834455</v>
      </c>
      <c r="J1926" s="88">
        <f>+J1925+J1924+J1920+J1914</f>
        <v>1834455</v>
      </c>
      <c r="K1926" s="88">
        <f>+K1925+K1924+K1920+K1914</f>
        <v>0</v>
      </c>
      <c r="L1926" s="119">
        <f>+K1926/J1926</f>
        <v>0</v>
      </c>
    </row>
    <row r="1927" spans="1:12" s="90" customFormat="1" ht="15">
      <c r="A1927" s="124"/>
      <c r="B1927" s="124"/>
      <c r="C1927" s="93"/>
      <c r="D1927" s="93"/>
      <c r="E1927" s="93"/>
      <c r="F1927" s="93"/>
      <c r="G1927" s="124"/>
      <c r="H1927" s="124"/>
      <c r="I1927" s="93"/>
      <c r="J1927" s="93"/>
      <c r="K1927" s="93"/>
      <c r="L1927" s="93"/>
    </row>
    <row r="1928" spans="1:12" s="90" customFormat="1" ht="15.75" thickBot="1">
      <c r="A1928" s="90" t="s">
        <v>894</v>
      </c>
      <c r="B1928" s="124"/>
      <c r="C1928" s="93"/>
      <c r="D1928" s="93"/>
      <c r="E1928" s="93"/>
      <c r="F1928" s="93"/>
      <c r="G1928" s="124"/>
      <c r="H1928" s="124"/>
      <c r="I1928" s="595"/>
      <c r="J1928" s="595"/>
      <c r="K1928" s="93"/>
      <c r="L1928" s="596" t="s">
        <v>216</v>
      </c>
    </row>
    <row r="1929" spans="1:12" s="90" customFormat="1" ht="28.5">
      <c r="A1929" s="96"/>
      <c r="B1929" s="97" t="s">
        <v>104</v>
      </c>
      <c r="C1929" s="86" t="s">
        <v>227</v>
      </c>
      <c r="D1929" s="86" t="s">
        <v>844</v>
      </c>
      <c r="E1929" s="86" t="s">
        <v>303</v>
      </c>
      <c r="F1929" s="87" t="s">
        <v>304</v>
      </c>
      <c r="G1929" s="96">
        <v>163</v>
      </c>
      <c r="H1929" s="97" t="s">
        <v>105</v>
      </c>
      <c r="I1929" s="86" t="s">
        <v>227</v>
      </c>
      <c r="J1929" s="86" t="s">
        <v>844</v>
      </c>
      <c r="K1929" s="86" t="s">
        <v>303</v>
      </c>
      <c r="L1929" s="87" t="s">
        <v>304</v>
      </c>
    </row>
    <row r="1930" spans="1:12" s="90" customFormat="1" ht="15">
      <c r="A1930" s="99" t="s">
        <v>23</v>
      </c>
      <c r="B1930" s="100" t="s">
        <v>108</v>
      </c>
      <c r="C1930" s="101">
        <f>+C1931+C1933+C1934+C1935</f>
        <v>3499999</v>
      </c>
      <c r="D1930" s="101">
        <f>+D1931+D1933+D1934+D1935</f>
        <v>3499999</v>
      </c>
      <c r="E1930" s="101">
        <f>+E1931+E1933+E1934+E1935</f>
        <v>0</v>
      </c>
      <c r="F1930" s="102">
        <f>+E1930/D1930</f>
        <v>0</v>
      </c>
      <c r="G1930" s="99" t="s">
        <v>23</v>
      </c>
      <c r="H1930" s="100" t="s">
        <v>129</v>
      </c>
      <c r="I1930" s="101">
        <f>SUM(I1931:I1935)</f>
        <v>3499999</v>
      </c>
      <c r="J1930" s="101">
        <f>SUM(J1931:J1935)</f>
        <v>3499999</v>
      </c>
      <c r="K1930" s="101">
        <f>SUM(K1931:K1935)</f>
        <v>874335</v>
      </c>
      <c r="L1930" s="102">
        <f>+K1930/J1930</f>
        <v>0.2498100713743061</v>
      </c>
    </row>
    <row r="1931" spans="1:12" s="90" customFormat="1" ht="15">
      <c r="A1931" s="99" t="s">
        <v>111</v>
      </c>
      <c r="B1931" s="116" t="s">
        <v>209</v>
      </c>
      <c r="C1931" s="106">
        <f>+C1932</f>
        <v>3499999</v>
      </c>
      <c r="D1931" s="106">
        <f>+D1932</f>
        <v>3499999</v>
      </c>
      <c r="E1931" s="106">
        <f>E1932</f>
        <v>0</v>
      </c>
      <c r="F1931" s="599">
        <f>+E1931/D1931</f>
        <v>0</v>
      </c>
      <c r="G1931" s="99" t="s">
        <v>111</v>
      </c>
      <c r="H1931" s="116" t="s">
        <v>80</v>
      </c>
      <c r="I1931" s="106">
        <v>2127659</v>
      </c>
      <c r="J1931" s="106">
        <v>2127659</v>
      </c>
      <c r="K1931" s="106">
        <v>757000</v>
      </c>
      <c r="L1931" s="599">
        <f>+K1931/J1931</f>
        <v>0.35579009606332596</v>
      </c>
    </row>
    <row r="1932" spans="1:12" s="90" customFormat="1" ht="15">
      <c r="A1932" s="99"/>
      <c r="B1932" s="116" t="s">
        <v>210</v>
      </c>
      <c r="C1932" s="106">
        <v>3499999</v>
      </c>
      <c r="D1932" s="106">
        <v>3499999</v>
      </c>
      <c r="E1932" s="106">
        <v>0</v>
      </c>
      <c r="F1932" s="599">
        <f>+E1932/D1932</f>
        <v>0</v>
      </c>
      <c r="G1932" s="99" t="s">
        <v>112</v>
      </c>
      <c r="H1932" s="116" t="s">
        <v>147</v>
      </c>
      <c r="I1932" s="106">
        <v>372340</v>
      </c>
      <c r="J1932" s="106">
        <v>372340</v>
      </c>
      <c r="K1932" s="106">
        <v>117335</v>
      </c>
      <c r="L1932" s="599">
        <f>+K1932/J1932</f>
        <v>0.31512864586130956</v>
      </c>
    </row>
    <row r="1933" spans="1:12" s="90" customFormat="1" ht="15">
      <c r="A1933" s="99" t="s">
        <v>112</v>
      </c>
      <c r="B1933" s="116" t="s">
        <v>9</v>
      </c>
      <c r="C1933" s="106"/>
      <c r="D1933" s="106"/>
      <c r="E1933" s="106"/>
      <c r="F1933" s="599"/>
      <c r="G1933" s="99" t="s">
        <v>113</v>
      </c>
      <c r="H1933" s="116" t="s">
        <v>83</v>
      </c>
      <c r="I1933" s="106">
        <v>1000000</v>
      </c>
      <c r="J1933" s="106">
        <v>1000000</v>
      </c>
      <c r="K1933" s="106">
        <v>0</v>
      </c>
      <c r="L1933" s="599">
        <f>+K1933/J1933+IF(L1933=0/0,0%)</f>
        <v>0</v>
      </c>
    </row>
    <row r="1934" spans="1:12" s="90" customFormat="1" ht="15">
      <c r="A1934" s="99" t="s">
        <v>113</v>
      </c>
      <c r="B1934" s="116" t="s">
        <v>170</v>
      </c>
      <c r="C1934" s="106"/>
      <c r="D1934" s="106"/>
      <c r="E1934" s="106"/>
      <c r="F1934" s="599"/>
      <c r="G1934" s="99" t="s">
        <v>114</v>
      </c>
      <c r="H1934" s="116" t="s">
        <v>84</v>
      </c>
      <c r="I1934" s="106"/>
      <c r="J1934" s="106"/>
      <c r="K1934" s="106"/>
      <c r="L1934" s="599"/>
    </row>
    <row r="1935" spans="1:12" s="90" customFormat="1" ht="15">
      <c r="A1935" s="99" t="s">
        <v>114</v>
      </c>
      <c r="B1935" s="116" t="s">
        <v>181</v>
      </c>
      <c r="C1935" s="106"/>
      <c r="D1935" s="106"/>
      <c r="E1935" s="106"/>
      <c r="F1935" s="599"/>
      <c r="G1935" s="99" t="s">
        <v>115</v>
      </c>
      <c r="H1935" s="116" t="s">
        <v>211</v>
      </c>
      <c r="I1935" s="106"/>
      <c r="J1935" s="106"/>
      <c r="K1935" s="106"/>
      <c r="L1935" s="599"/>
    </row>
    <row r="1936" spans="1:12" s="90" customFormat="1" ht="15">
      <c r="A1936" s="112" t="s">
        <v>45</v>
      </c>
      <c r="B1936" s="100" t="s">
        <v>118</v>
      </c>
      <c r="C1936" s="101"/>
      <c r="D1936" s="101"/>
      <c r="E1936" s="101"/>
      <c r="F1936" s="102"/>
      <c r="G1936" s="112" t="s">
        <v>45</v>
      </c>
      <c r="H1936" s="100" t="s">
        <v>130</v>
      </c>
      <c r="I1936" s="101"/>
      <c r="J1936" s="101"/>
      <c r="K1936" s="101"/>
      <c r="L1936" s="102"/>
    </row>
    <row r="1937" spans="1:12" s="90" customFormat="1" ht="15">
      <c r="A1937" s="112" t="s">
        <v>111</v>
      </c>
      <c r="B1937" s="100" t="s">
        <v>106</v>
      </c>
      <c r="C1937" s="106"/>
      <c r="D1937" s="106"/>
      <c r="E1937" s="106"/>
      <c r="F1937" s="599"/>
      <c r="G1937" s="112" t="s">
        <v>111</v>
      </c>
      <c r="H1937" s="100" t="s">
        <v>131</v>
      </c>
      <c r="I1937" s="106"/>
      <c r="J1937" s="106"/>
      <c r="K1937" s="106"/>
      <c r="L1937" s="599"/>
    </row>
    <row r="1938" spans="1:12" s="90" customFormat="1" ht="15">
      <c r="A1938" s="112" t="s">
        <v>112</v>
      </c>
      <c r="B1938" s="100" t="s">
        <v>39</v>
      </c>
      <c r="C1938" s="106"/>
      <c r="D1938" s="106"/>
      <c r="E1938" s="106"/>
      <c r="F1938" s="599"/>
      <c r="G1938" s="112" t="s">
        <v>112</v>
      </c>
      <c r="H1938" s="100" t="s">
        <v>87</v>
      </c>
      <c r="I1938" s="106"/>
      <c r="J1938" s="106"/>
      <c r="K1938" s="106"/>
      <c r="L1938" s="599"/>
    </row>
    <row r="1939" spans="1:12" s="90" customFormat="1" ht="15">
      <c r="A1939" s="112" t="s">
        <v>113</v>
      </c>
      <c r="B1939" s="100" t="s">
        <v>201</v>
      </c>
      <c r="C1939" s="106"/>
      <c r="D1939" s="106"/>
      <c r="E1939" s="106"/>
      <c r="F1939" s="599"/>
      <c r="G1939" s="112" t="s">
        <v>113</v>
      </c>
      <c r="H1939" s="100" t="s">
        <v>90</v>
      </c>
      <c r="I1939" s="106"/>
      <c r="J1939" s="106"/>
      <c r="K1939" s="106"/>
      <c r="L1939" s="599"/>
    </row>
    <row r="1940" spans="1:12" s="90" customFormat="1" ht="15">
      <c r="A1940" s="112" t="s">
        <v>56</v>
      </c>
      <c r="B1940" s="100" t="s">
        <v>126</v>
      </c>
      <c r="C1940" s="101"/>
      <c r="D1940" s="101"/>
      <c r="E1940" s="101"/>
      <c r="F1940" s="102"/>
      <c r="G1940" s="112" t="s">
        <v>56</v>
      </c>
      <c r="H1940" s="100" t="s">
        <v>132</v>
      </c>
      <c r="I1940" s="101"/>
      <c r="J1940" s="101"/>
      <c r="K1940" s="101"/>
      <c r="L1940" s="102"/>
    </row>
    <row r="1941" spans="1:12" s="90" customFormat="1" ht="15">
      <c r="A1941" s="99" t="s">
        <v>64</v>
      </c>
      <c r="B1941" s="116" t="s">
        <v>127</v>
      </c>
      <c r="C1941" s="101"/>
      <c r="D1941" s="101"/>
      <c r="E1941" s="101"/>
      <c r="F1941" s="102"/>
      <c r="G1941" s="99" t="s">
        <v>64</v>
      </c>
      <c r="H1941" s="116" t="s">
        <v>133</v>
      </c>
      <c r="I1941" s="101"/>
      <c r="J1941" s="101"/>
      <c r="K1941" s="101"/>
      <c r="L1941" s="102"/>
    </row>
    <row r="1942" spans="1:12" s="90" customFormat="1" ht="15.75" thickBot="1">
      <c r="A1942" s="117"/>
      <c r="B1942" s="118" t="s">
        <v>148</v>
      </c>
      <c r="C1942" s="88">
        <f>+C1941+C1940+C1936+C1930</f>
        <v>3499999</v>
      </c>
      <c r="D1942" s="88">
        <f>+D1941+D1940+D1936+D1930</f>
        <v>3499999</v>
      </c>
      <c r="E1942" s="88">
        <f>+E1930+E1936+E1940+E1941</f>
        <v>0</v>
      </c>
      <c r="F1942" s="119">
        <f>+E1942/D1942</f>
        <v>0</v>
      </c>
      <c r="G1942" s="117"/>
      <c r="H1942" s="118" t="s">
        <v>149</v>
      </c>
      <c r="I1942" s="88">
        <f>+I1941+I1940+I1936+I1930</f>
        <v>3499999</v>
      </c>
      <c r="J1942" s="88">
        <f>+J1941+J1940+J1936+J1930</f>
        <v>3499999</v>
      </c>
      <c r="K1942" s="88">
        <f>+K1941+K1940+K1936+K1930</f>
        <v>874335</v>
      </c>
      <c r="L1942" s="119">
        <f>+K1942/J1942</f>
        <v>0.2498100713743061</v>
      </c>
    </row>
    <row r="1943" spans="1:12" s="90" customFormat="1" ht="15">
      <c r="A1943" s="124"/>
      <c r="B1943" s="124"/>
      <c r="C1943" s="93"/>
      <c r="D1943" s="93"/>
      <c r="E1943" s="93"/>
      <c r="F1943" s="93"/>
      <c r="G1943" s="124"/>
      <c r="H1943" s="124"/>
      <c r="I1943" s="93"/>
      <c r="J1943" s="93"/>
      <c r="K1943" s="93"/>
      <c r="L1943" s="93"/>
    </row>
    <row r="1944" spans="1:12" s="90" customFormat="1" ht="15.75" thickBot="1">
      <c r="A1944" s="90" t="s">
        <v>895</v>
      </c>
      <c r="B1944" s="124"/>
      <c r="C1944" s="93"/>
      <c r="D1944" s="93"/>
      <c r="E1944" s="93"/>
      <c r="F1944" s="93"/>
      <c r="G1944" s="124"/>
      <c r="H1944" s="124"/>
      <c r="I1944" s="595"/>
      <c r="J1944" s="595"/>
      <c r="K1944" s="93"/>
      <c r="L1944" s="596" t="s">
        <v>216</v>
      </c>
    </row>
    <row r="1945" spans="1:12" s="90" customFormat="1" ht="28.5">
      <c r="A1945" s="96"/>
      <c r="B1945" s="97" t="s">
        <v>104</v>
      </c>
      <c r="C1945" s="86" t="s">
        <v>227</v>
      </c>
      <c r="D1945" s="86" t="s">
        <v>844</v>
      </c>
      <c r="E1945" s="86" t="s">
        <v>303</v>
      </c>
      <c r="F1945" s="87" t="s">
        <v>304</v>
      </c>
      <c r="G1945" s="96">
        <v>168</v>
      </c>
      <c r="H1945" s="97" t="s">
        <v>105</v>
      </c>
      <c r="I1945" s="86" t="s">
        <v>227</v>
      </c>
      <c r="J1945" s="86" t="s">
        <v>844</v>
      </c>
      <c r="K1945" s="86" t="s">
        <v>303</v>
      </c>
      <c r="L1945" s="87" t="s">
        <v>304</v>
      </c>
    </row>
    <row r="1946" spans="1:12" s="90" customFormat="1" ht="15">
      <c r="A1946" s="99" t="s">
        <v>23</v>
      </c>
      <c r="B1946" s="100" t="s">
        <v>108</v>
      </c>
      <c r="C1946" s="101">
        <f>+C1947+C1949+C1950+C1951</f>
        <v>2909710</v>
      </c>
      <c r="D1946" s="101">
        <f>+D1947+D1949+D1950+D1951</f>
        <v>2909710</v>
      </c>
      <c r="E1946" s="101">
        <f>+E1947+E1949+E1950+E1951</f>
        <v>0</v>
      </c>
      <c r="F1946" s="102">
        <f>+E1946/D1946</f>
        <v>0</v>
      </c>
      <c r="G1946" s="99" t="s">
        <v>23</v>
      </c>
      <c r="H1946" s="100" t="s">
        <v>129</v>
      </c>
      <c r="I1946" s="101">
        <f>SUM(I1947:I1951)</f>
        <v>2909710</v>
      </c>
      <c r="J1946" s="101">
        <f>SUM(J1947:J1951)</f>
        <v>2909710</v>
      </c>
      <c r="K1946" s="101">
        <f>SUM(K1947:K1951)</f>
        <v>791208</v>
      </c>
      <c r="L1946" s="102">
        <f>+K1946/J1946</f>
        <v>0.2719198820501012</v>
      </c>
    </row>
    <row r="1947" spans="1:12" s="90" customFormat="1" ht="15">
      <c r="A1947" s="99" t="s">
        <v>111</v>
      </c>
      <c r="B1947" s="116" t="s">
        <v>209</v>
      </c>
      <c r="C1947" s="106">
        <f>+C1948</f>
        <v>2909710</v>
      </c>
      <c r="D1947" s="106">
        <f>+D1948</f>
        <v>2909710</v>
      </c>
      <c r="E1947" s="106">
        <f>E1948</f>
        <v>0</v>
      </c>
      <c r="F1947" s="599">
        <f>+E1947/D1947</f>
        <v>0</v>
      </c>
      <c r="G1947" s="99" t="s">
        <v>111</v>
      </c>
      <c r="H1947" s="116" t="s">
        <v>80</v>
      </c>
      <c r="I1947" s="106">
        <v>1612875</v>
      </c>
      <c r="J1947" s="106">
        <v>1612875</v>
      </c>
      <c r="K1947" s="106">
        <v>680850</v>
      </c>
      <c r="L1947" s="599">
        <f>+K1947/J1947</f>
        <v>0.42213438735177866</v>
      </c>
    </row>
    <row r="1948" spans="1:12" s="90" customFormat="1" ht="15">
      <c r="A1948" s="99"/>
      <c r="B1948" s="116" t="s">
        <v>210</v>
      </c>
      <c r="C1948" s="106">
        <v>2909710</v>
      </c>
      <c r="D1948" s="106">
        <v>2909710</v>
      </c>
      <c r="E1948" s="106">
        <v>0</v>
      </c>
      <c r="F1948" s="599">
        <f>+E1948/D1948</f>
        <v>0</v>
      </c>
      <c r="G1948" s="99" t="s">
        <v>112</v>
      </c>
      <c r="H1948" s="116" t="s">
        <v>147</v>
      </c>
      <c r="I1948" s="106">
        <v>342125</v>
      </c>
      <c r="J1948" s="106">
        <v>342125</v>
      </c>
      <c r="K1948" s="106">
        <v>105532</v>
      </c>
      <c r="L1948" s="599">
        <f>+K1948/J1948</f>
        <v>0.308460358056266</v>
      </c>
    </row>
    <row r="1949" spans="1:12" s="90" customFormat="1" ht="15">
      <c r="A1949" s="99" t="s">
        <v>112</v>
      </c>
      <c r="B1949" s="116" t="s">
        <v>9</v>
      </c>
      <c r="C1949" s="106"/>
      <c r="D1949" s="106"/>
      <c r="E1949" s="106"/>
      <c r="F1949" s="599"/>
      <c r="G1949" s="99" t="s">
        <v>113</v>
      </c>
      <c r="H1949" s="116" t="s">
        <v>83</v>
      </c>
      <c r="I1949" s="106">
        <v>954710</v>
      </c>
      <c r="J1949" s="106">
        <v>954710</v>
      </c>
      <c r="K1949" s="106">
        <v>4826</v>
      </c>
      <c r="L1949" s="599">
        <f>+K1949/J1949</f>
        <v>0.005054938148757214</v>
      </c>
    </row>
    <row r="1950" spans="1:12" s="90" customFormat="1" ht="15">
      <c r="A1950" s="99" t="s">
        <v>113</v>
      </c>
      <c r="B1950" s="116" t="s">
        <v>170</v>
      </c>
      <c r="C1950" s="106"/>
      <c r="D1950" s="106"/>
      <c r="E1950" s="106"/>
      <c r="F1950" s="599"/>
      <c r="G1950" s="99" t="s">
        <v>114</v>
      </c>
      <c r="H1950" s="116" t="s">
        <v>84</v>
      </c>
      <c r="I1950" s="106"/>
      <c r="J1950" s="106"/>
      <c r="K1950" s="106"/>
      <c r="L1950" s="599"/>
    </row>
    <row r="1951" spans="1:12" s="90" customFormat="1" ht="15">
      <c r="A1951" s="99" t="s">
        <v>114</v>
      </c>
      <c r="B1951" s="116" t="s">
        <v>181</v>
      </c>
      <c r="C1951" s="106"/>
      <c r="D1951" s="106"/>
      <c r="E1951" s="106"/>
      <c r="F1951" s="599"/>
      <c r="G1951" s="99" t="s">
        <v>115</v>
      </c>
      <c r="H1951" s="116" t="s">
        <v>211</v>
      </c>
      <c r="I1951" s="106"/>
      <c r="J1951" s="106"/>
      <c r="K1951" s="106"/>
      <c r="L1951" s="599"/>
    </row>
    <row r="1952" spans="1:12" s="90" customFormat="1" ht="15">
      <c r="A1952" s="112" t="s">
        <v>45</v>
      </c>
      <c r="B1952" s="100" t="s">
        <v>118</v>
      </c>
      <c r="C1952" s="101"/>
      <c r="D1952" s="101"/>
      <c r="E1952" s="101"/>
      <c r="F1952" s="102"/>
      <c r="G1952" s="112" t="s">
        <v>45</v>
      </c>
      <c r="H1952" s="100" t="s">
        <v>130</v>
      </c>
      <c r="I1952" s="101"/>
      <c r="J1952" s="101"/>
      <c r="K1952" s="101"/>
      <c r="L1952" s="102"/>
    </row>
    <row r="1953" spans="1:12" s="90" customFormat="1" ht="15">
      <c r="A1953" s="112" t="s">
        <v>111</v>
      </c>
      <c r="B1953" s="100" t="s">
        <v>106</v>
      </c>
      <c r="C1953" s="106"/>
      <c r="D1953" s="106"/>
      <c r="E1953" s="106"/>
      <c r="F1953" s="599"/>
      <c r="G1953" s="112" t="s">
        <v>111</v>
      </c>
      <c r="H1953" s="100" t="s">
        <v>131</v>
      </c>
      <c r="I1953" s="106"/>
      <c r="J1953" s="106"/>
      <c r="K1953" s="106"/>
      <c r="L1953" s="599"/>
    </row>
    <row r="1954" spans="1:12" s="90" customFormat="1" ht="15">
      <c r="A1954" s="112" t="s">
        <v>112</v>
      </c>
      <c r="B1954" s="100" t="s">
        <v>39</v>
      </c>
      <c r="C1954" s="106"/>
      <c r="D1954" s="106"/>
      <c r="E1954" s="106"/>
      <c r="F1954" s="599"/>
      <c r="G1954" s="112" t="s">
        <v>112</v>
      </c>
      <c r="H1954" s="100" t="s">
        <v>87</v>
      </c>
      <c r="I1954" s="106"/>
      <c r="J1954" s="106"/>
      <c r="K1954" s="106"/>
      <c r="L1954" s="599"/>
    </row>
    <row r="1955" spans="1:12" s="90" customFormat="1" ht="15">
      <c r="A1955" s="112" t="s">
        <v>113</v>
      </c>
      <c r="B1955" s="100" t="s">
        <v>201</v>
      </c>
      <c r="C1955" s="106"/>
      <c r="D1955" s="106"/>
      <c r="E1955" s="106"/>
      <c r="F1955" s="599"/>
      <c r="G1955" s="112" t="s">
        <v>113</v>
      </c>
      <c r="H1955" s="100" t="s">
        <v>90</v>
      </c>
      <c r="I1955" s="106"/>
      <c r="J1955" s="106"/>
      <c r="K1955" s="106"/>
      <c r="L1955" s="599"/>
    </row>
    <row r="1956" spans="1:12" s="90" customFormat="1" ht="15">
      <c r="A1956" s="112" t="s">
        <v>56</v>
      </c>
      <c r="B1956" s="100" t="s">
        <v>126</v>
      </c>
      <c r="C1956" s="101"/>
      <c r="D1956" s="101"/>
      <c r="E1956" s="101"/>
      <c r="F1956" s="102"/>
      <c r="G1956" s="112" t="s">
        <v>56</v>
      </c>
      <c r="H1956" s="100" t="s">
        <v>132</v>
      </c>
      <c r="I1956" s="101"/>
      <c r="J1956" s="101"/>
      <c r="K1956" s="101"/>
      <c r="L1956" s="102"/>
    </row>
    <row r="1957" spans="1:12" s="90" customFormat="1" ht="15">
      <c r="A1957" s="99" t="s">
        <v>64</v>
      </c>
      <c r="B1957" s="116" t="s">
        <v>127</v>
      </c>
      <c r="C1957" s="101"/>
      <c r="D1957" s="101"/>
      <c r="E1957" s="101"/>
      <c r="F1957" s="102"/>
      <c r="G1957" s="99" t="s">
        <v>64</v>
      </c>
      <c r="H1957" s="116" t="s">
        <v>133</v>
      </c>
      <c r="I1957" s="101"/>
      <c r="J1957" s="101"/>
      <c r="K1957" s="101"/>
      <c r="L1957" s="102"/>
    </row>
    <row r="1958" spans="1:12" s="90" customFormat="1" ht="15.75" thickBot="1">
      <c r="A1958" s="117"/>
      <c r="B1958" s="118" t="s">
        <v>148</v>
      </c>
      <c r="C1958" s="88">
        <f>+C1957+C1956+C1952+C1946</f>
        <v>2909710</v>
      </c>
      <c r="D1958" s="88">
        <f>+D1957+D1956+D1952+D1946</f>
        <v>2909710</v>
      </c>
      <c r="E1958" s="88">
        <f>+E1946+E1952+E1956+E1957</f>
        <v>0</v>
      </c>
      <c r="F1958" s="119">
        <f>+E1958/D1958</f>
        <v>0</v>
      </c>
      <c r="G1958" s="117"/>
      <c r="H1958" s="118" t="s">
        <v>149</v>
      </c>
      <c r="I1958" s="88">
        <f>+I1957+I1956+I1952+I1946</f>
        <v>2909710</v>
      </c>
      <c r="J1958" s="88">
        <f>+J1957+J1956+J1952+J1946</f>
        <v>2909710</v>
      </c>
      <c r="K1958" s="88">
        <f>+K1957+K1956+K1952+K1946</f>
        <v>791208</v>
      </c>
      <c r="L1958" s="119">
        <f>+K1958/J1958</f>
        <v>0.2719198820501012</v>
      </c>
    </row>
    <row r="1959" spans="1:12" s="90" customFormat="1" ht="15">
      <c r="A1959" s="124"/>
      <c r="B1959" s="124"/>
      <c r="C1959" s="93"/>
      <c r="D1959" s="93"/>
      <c r="E1959" s="93"/>
      <c r="F1959" s="93"/>
      <c r="G1959" s="124"/>
      <c r="H1959" s="124"/>
      <c r="I1959" s="93"/>
      <c r="J1959" s="93"/>
      <c r="K1959" s="93"/>
      <c r="L1959" s="93"/>
    </row>
    <row r="1960" spans="1:12" s="90" customFormat="1" ht="15.75" thickBot="1">
      <c r="A1960" s="90" t="s">
        <v>896</v>
      </c>
      <c r="B1960" s="124"/>
      <c r="C1960" s="93"/>
      <c r="D1960" s="93"/>
      <c r="E1960" s="93"/>
      <c r="F1960" s="93"/>
      <c r="G1960" s="124"/>
      <c r="H1960" s="124"/>
      <c r="I1960" s="595"/>
      <c r="J1960" s="595"/>
      <c r="K1960" s="93"/>
      <c r="L1960" s="596" t="s">
        <v>216</v>
      </c>
    </row>
    <row r="1961" spans="1:12" s="90" customFormat="1" ht="28.5">
      <c r="A1961" s="96"/>
      <c r="B1961" s="97" t="s">
        <v>104</v>
      </c>
      <c r="C1961" s="86" t="s">
        <v>227</v>
      </c>
      <c r="D1961" s="86" t="s">
        <v>844</v>
      </c>
      <c r="E1961" s="86" t="s">
        <v>303</v>
      </c>
      <c r="F1961" s="87" t="s">
        <v>304</v>
      </c>
      <c r="G1961" s="96">
        <v>167</v>
      </c>
      <c r="H1961" s="97" t="s">
        <v>105</v>
      </c>
      <c r="I1961" s="86" t="s">
        <v>227</v>
      </c>
      <c r="J1961" s="86" t="s">
        <v>844</v>
      </c>
      <c r="K1961" s="86" t="s">
        <v>303</v>
      </c>
      <c r="L1961" s="87" t="s">
        <v>304</v>
      </c>
    </row>
    <row r="1962" spans="1:12" s="90" customFormat="1" ht="15">
      <c r="A1962" s="99" t="s">
        <v>23</v>
      </c>
      <c r="B1962" s="100" t="s">
        <v>108</v>
      </c>
      <c r="C1962" s="101">
        <f>+C1963+C1965+C1966+C1967</f>
        <v>3087210</v>
      </c>
      <c r="D1962" s="101">
        <f>+D1963+D1965+D1966+D1967</f>
        <v>3087210</v>
      </c>
      <c r="E1962" s="101">
        <f>+E1963+E1965+E1966+E1967</f>
        <v>0</v>
      </c>
      <c r="F1962" s="102">
        <f>+E1962/D1962</f>
        <v>0</v>
      </c>
      <c r="G1962" s="99" t="s">
        <v>23</v>
      </c>
      <c r="H1962" s="100" t="s">
        <v>129</v>
      </c>
      <c r="I1962" s="101">
        <f>SUM(I1963:I1967)</f>
        <v>3087210</v>
      </c>
      <c r="J1962" s="101">
        <f>SUM(J1963:J1967)</f>
        <v>3087210</v>
      </c>
      <c r="K1962" s="101">
        <f>SUM(K1963:K1967)</f>
        <v>497909</v>
      </c>
      <c r="L1962" s="102">
        <f>+K1962/J1962</f>
        <v>0.1612812215560328</v>
      </c>
    </row>
    <row r="1963" spans="1:12" s="90" customFormat="1" ht="15">
      <c r="A1963" s="99" t="s">
        <v>111</v>
      </c>
      <c r="B1963" s="116" t="s">
        <v>209</v>
      </c>
      <c r="C1963" s="106">
        <f>+C1964</f>
        <v>3087210</v>
      </c>
      <c r="D1963" s="106">
        <f>+D1964</f>
        <v>3087210</v>
      </c>
      <c r="E1963" s="106">
        <f>E1964</f>
        <v>0</v>
      </c>
      <c r="F1963" s="599">
        <f>+E1963/D1963</f>
        <v>0</v>
      </c>
      <c r="G1963" s="99" t="s">
        <v>111</v>
      </c>
      <c r="H1963" s="116" t="s">
        <v>80</v>
      </c>
      <c r="I1963" s="106">
        <v>2100000</v>
      </c>
      <c r="J1963" s="106">
        <v>2100000</v>
      </c>
      <c r="K1963" s="106">
        <v>425495</v>
      </c>
      <c r="L1963" s="599">
        <f>+K1963/J1963</f>
        <v>0.20261666666666667</v>
      </c>
    </row>
    <row r="1964" spans="1:12" s="90" customFormat="1" ht="15">
      <c r="A1964" s="99"/>
      <c r="B1964" s="116" t="s">
        <v>210</v>
      </c>
      <c r="C1964" s="106">
        <v>3087210</v>
      </c>
      <c r="D1964" s="106">
        <v>3087210</v>
      </c>
      <c r="E1964" s="106">
        <v>0</v>
      </c>
      <c r="F1964" s="599">
        <f>+E1964/D1964</f>
        <v>0</v>
      </c>
      <c r="G1964" s="99" t="s">
        <v>112</v>
      </c>
      <c r="H1964" s="116" t="s">
        <v>147</v>
      </c>
      <c r="I1964" s="106">
        <v>367500</v>
      </c>
      <c r="J1964" s="106">
        <v>367500</v>
      </c>
      <c r="K1964" s="106">
        <v>67588</v>
      </c>
      <c r="L1964" s="599">
        <f>+K1964/J1964</f>
        <v>0.18391292517006802</v>
      </c>
    </row>
    <row r="1965" spans="1:12" s="90" customFormat="1" ht="15">
      <c r="A1965" s="99" t="s">
        <v>112</v>
      </c>
      <c r="B1965" s="116" t="s">
        <v>9</v>
      </c>
      <c r="C1965" s="106"/>
      <c r="D1965" s="106"/>
      <c r="E1965" s="106"/>
      <c r="F1965" s="599"/>
      <c r="G1965" s="99" t="s">
        <v>113</v>
      </c>
      <c r="H1965" s="116" t="s">
        <v>83</v>
      </c>
      <c r="I1965" s="106">
        <v>619710</v>
      </c>
      <c r="J1965" s="106">
        <v>619710</v>
      </c>
      <c r="K1965" s="106">
        <v>4826</v>
      </c>
      <c r="L1965" s="599">
        <f>+K1965/J1965</f>
        <v>0.007787513514385761</v>
      </c>
    </row>
    <row r="1966" spans="1:12" s="90" customFormat="1" ht="15">
      <c r="A1966" s="99" t="s">
        <v>113</v>
      </c>
      <c r="B1966" s="116" t="s">
        <v>170</v>
      </c>
      <c r="C1966" s="106"/>
      <c r="D1966" s="106"/>
      <c r="E1966" s="106"/>
      <c r="F1966" s="599"/>
      <c r="G1966" s="99" t="s">
        <v>114</v>
      </c>
      <c r="H1966" s="116" t="s">
        <v>84</v>
      </c>
      <c r="I1966" s="106"/>
      <c r="J1966" s="106"/>
      <c r="K1966" s="106"/>
      <c r="L1966" s="599"/>
    </row>
    <row r="1967" spans="1:12" s="90" customFormat="1" ht="15">
      <c r="A1967" s="99" t="s">
        <v>114</v>
      </c>
      <c r="B1967" s="116" t="s">
        <v>181</v>
      </c>
      <c r="C1967" s="106"/>
      <c r="D1967" s="106"/>
      <c r="E1967" s="106"/>
      <c r="F1967" s="599"/>
      <c r="G1967" s="99" t="s">
        <v>115</v>
      </c>
      <c r="H1967" s="116" t="s">
        <v>211</v>
      </c>
      <c r="I1967" s="106"/>
      <c r="J1967" s="106"/>
      <c r="K1967" s="106"/>
      <c r="L1967" s="599"/>
    </row>
    <row r="1968" spans="1:12" s="90" customFormat="1" ht="15">
      <c r="A1968" s="112" t="s">
        <v>45</v>
      </c>
      <c r="B1968" s="100" t="s">
        <v>118</v>
      </c>
      <c r="C1968" s="101"/>
      <c r="D1968" s="101"/>
      <c r="E1968" s="101"/>
      <c r="F1968" s="102"/>
      <c r="G1968" s="112" t="s">
        <v>45</v>
      </c>
      <c r="H1968" s="100" t="s">
        <v>130</v>
      </c>
      <c r="I1968" s="101"/>
      <c r="J1968" s="101"/>
      <c r="K1968" s="101"/>
      <c r="L1968" s="102"/>
    </row>
    <row r="1969" spans="1:12" s="90" customFormat="1" ht="15">
      <c r="A1969" s="112" t="s">
        <v>111</v>
      </c>
      <c r="B1969" s="100" t="s">
        <v>106</v>
      </c>
      <c r="C1969" s="106"/>
      <c r="D1969" s="106"/>
      <c r="E1969" s="106"/>
      <c r="F1969" s="599"/>
      <c r="G1969" s="112" t="s">
        <v>111</v>
      </c>
      <c r="H1969" s="100" t="s">
        <v>131</v>
      </c>
      <c r="I1969" s="106"/>
      <c r="J1969" s="106"/>
      <c r="K1969" s="106"/>
      <c r="L1969" s="599"/>
    </row>
    <row r="1970" spans="1:12" s="90" customFormat="1" ht="15">
      <c r="A1970" s="112" t="s">
        <v>112</v>
      </c>
      <c r="B1970" s="100" t="s">
        <v>39</v>
      </c>
      <c r="C1970" s="106"/>
      <c r="D1970" s="106"/>
      <c r="E1970" s="106"/>
      <c r="F1970" s="599"/>
      <c r="G1970" s="112" t="s">
        <v>112</v>
      </c>
      <c r="H1970" s="100" t="s">
        <v>87</v>
      </c>
      <c r="I1970" s="106"/>
      <c r="J1970" s="106"/>
      <c r="K1970" s="106"/>
      <c r="L1970" s="599"/>
    </row>
    <row r="1971" spans="1:12" s="90" customFormat="1" ht="15">
      <c r="A1971" s="112" t="s">
        <v>113</v>
      </c>
      <c r="B1971" s="100" t="s">
        <v>201</v>
      </c>
      <c r="C1971" s="106"/>
      <c r="D1971" s="106"/>
      <c r="E1971" s="106"/>
      <c r="F1971" s="599"/>
      <c r="G1971" s="112" t="s">
        <v>113</v>
      </c>
      <c r="H1971" s="100" t="s">
        <v>90</v>
      </c>
      <c r="I1971" s="106"/>
      <c r="J1971" s="106"/>
      <c r="K1971" s="106"/>
      <c r="L1971" s="599"/>
    </row>
    <row r="1972" spans="1:12" s="90" customFormat="1" ht="15">
      <c r="A1972" s="112" t="s">
        <v>56</v>
      </c>
      <c r="B1972" s="100" t="s">
        <v>126</v>
      </c>
      <c r="C1972" s="101"/>
      <c r="D1972" s="101"/>
      <c r="E1972" s="101"/>
      <c r="F1972" s="102"/>
      <c r="G1972" s="112" t="s">
        <v>56</v>
      </c>
      <c r="H1972" s="100" t="s">
        <v>132</v>
      </c>
      <c r="I1972" s="101"/>
      <c r="J1972" s="101"/>
      <c r="K1972" s="101"/>
      <c r="L1972" s="102"/>
    </row>
    <row r="1973" spans="1:12" s="90" customFormat="1" ht="15">
      <c r="A1973" s="99" t="s">
        <v>64</v>
      </c>
      <c r="B1973" s="116" t="s">
        <v>127</v>
      </c>
      <c r="C1973" s="101"/>
      <c r="D1973" s="101"/>
      <c r="E1973" s="101"/>
      <c r="F1973" s="102"/>
      <c r="G1973" s="99" t="s">
        <v>64</v>
      </c>
      <c r="H1973" s="116" t="s">
        <v>133</v>
      </c>
      <c r="I1973" s="101"/>
      <c r="J1973" s="101"/>
      <c r="K1973" s="101"/>
      <c r="L1973" s="102"/>
    </row>
    <row r="1974" spans="1:12" s="90" customFormat="1" ht="15.75" thickBot="1">
      <c r="A1974" s="117"/>
      <c r="B1974" s="118" t="s">
        <v>148</v>
      </c>
      <c r="C1974" s="88">
        <f>+C1973+C1972+C1968+C1962</f>
        <v>3087210</v>
      </c>
      <c r="D1974" s="88">
        <f>+D1973+D1972+D1968+D1962</f>
        <v>3087210</v>
      </c>
      <c r="E1974" s="88">
        <f>+E1962+E1968+E1972+E1973</f>
        <v>0</v>
      </c>
      <c r="F1974" s="119">
        <f>+E1974/D1974</f>
        <v>0</v>
      </c>
      <c r="G1974" s="117"/>
      <c r="H1974" s="118" t="s">
        <v>149</v>
      </c>
      <c r="I1974" s="88">
        <f>+I1973+I1972+I1968+I1962</f>
        <v>3087210</v>
      </c>
      <c r="J1974" s="88">
        <f>+J1973+J1972+J1968+J1962</f>
        <v>3087210</v>
      </c>
      <c r="K1974" s="88">
        <f>+K1973+K1972+K1968+K1962</f>
        <v>497909</v>
      </c>
      <c r="L1974" s="119">
        <f>+K1974/J1974</f>
        <v>0.1612812215560328</v>
      </c>
    </row>
    <row r="1975" spans="1:12" s="90" customFormat="1" ht="15">
      <c r="A1975" s="124"/>
      <c r="B1975" s="124"/>
      <c r="C1975" s="93"/>
      <c r="D1975" s="93"/>
      <c r="E1975" s="93"/>
      <c r="F1975" s="93"/>
      <c r="G1975" s="124"/>
      <c r="H1975" s="124"/>
      <c r="I1975" s="93"/>
      <c r="J1975" s="93"/>
      <c r="K1975" s="93"/>
      <c r="L1975" s="93"/>
    </row>
    <row r="1976" spans="1:12" s="90" customFormat="1" ht="15.75" thickBot="1">
      <c r="A1976" s="90" t="s">
        <v>897</v>
      </c>
      <c r="B1976" s="124"/>
      <c r="C1976" s="93"/>
      <c r="D1976" s="93"/>
      <c r="E1976" s="93"/>
      <c r="F1976" s="93"/>
      <c r="G1976" s="124"/>
      <c r="H1976" s="124"/>
      <c r="I1976" s="595"/>
      <c r="J1976" s="595"/>
      <c r="K1976" s="93"/>
      <c r="L1976" s="596" t="s">
        <v>216</v>
      </c>
    </row>
    <row r="1977" spans="1:12" s="90" customFormat="1" ht="28.5">
      <c r="A1977" s="96"/>
      <c r="B1977" s="97" t="s">
        <v>104</v>
      </c>
      <c r="C1977" s="86" t="s">
        <v>227</v>
      </c>
      <c r="D1977" s="86" t="s">
        <v>844</v>
      </c>
      <c r="E1977" s="86" t="s">
        <v>303</v>
      </c>
      <c r="F1977" s="87" t="s">
        <v>304</v>
      </c>
      <c r="G1977" s="96">
        <v>166</v>
      </c>
      <c r="H1977" s="97" t="s">
        <v>105</v>
      </c>
      <c r="I1977" s="86" t="s">
        <v>227</v>
      </c>
      <c r="J1977" s="86" t="s">
        <v>844</v>
      </c>
      <c r="K1977" s="86" t="s">
        <v>303</v>
      </c>
      <c r="L1977" s="87" t="s">
        <v>304</v>
      </c>
    </row>
    <row r="1978" spans="1:12" s="90" customFormat="1" ht="15">
      <c r="A1978" s="99" t="s">
        <v>23</v>
      </c>
      <c r="B1978" s="100" t="s">
        <v>108</v>
      </c>
      <c r="C1978" s="101">
        <f>+C1979+C1981+C1982+C1983</f>
        <v>2246960</v>
      </c>
      <c r="D1978" s="101">
        <f>+D1979+D1981+D1982+D1983</f>
        <v>2246960</v>
      </c>
      <c r="E1978" s="101">
        <f>+E1979+E1981+E1982+E1983</f>
        <v>0</v>
      </c>
      <c r="F1978" s="102">
        <f>+E1978/D1978</f>
        <v>0</v>
      </c>
      <c r="G1978" s="99" t="s">
        <v>23</v>
      </c>
      <c r="H1978" s="100" t="s">
        <v>129</v>
      </c>
      <c r="I1978" s="101">
        <f>SUM(I1979:I1983)</f>
        <v>2246960</v>
      </c>
      <c r="J1978" s="101">
        <f>SUM(J1979:J1983)</f>
        <v>2246960</v>
      </c>
      <c r="K1978" s="101">
        <f>SUM(K1979:K1983)</f>
        <v>0</v>
      </c>
      <c r="L1978" s="102">
        <f>+K1978/J1978</f>
        <v>0</v>
      </c>
    </row>
    <row r="1979" spans="1:12" s="90" customFormat="1" ht="15">
      <c r="A1979" s="99" t="s">
        <v>111</v>
      </c>
      <c r="B1979" s="116" t="s">
        <v>209</v>
      </c>
      <c r="C1979" s="106">
        <f>+C1980</f>
        <v>2246960</v>
      </c>
      <c r="D1979" s="106">
        <f>+D1980</f>
        <v>2246960</v>
      </c>
      <c r="E1979" s="106">
        <f>E1980</f>
        <v>0</v>
      </c>
      <c r="F1979" s="599">
        <f>+E1979/D1979</f>
        <v>0</v>
      </c>
      <c r="G1979" s="99" t="s">
        <v>111</v>
      </c>
      <c r="H1979" s="116" t="s">
        <v>80</v>
      </c>
      <c r="I1979" s="106">
        <v>1270000</v>
      </c>
      <c r="J1979" s="106">
        <v>1270000</v>
      </c>
      <c r="K1979" s="106">
        <v>0</v>
      </c>
      <c r="L1979" s="599">
        <f>+K1979/J1979</f>
        <v>0</v>
      </c>
    </row>
    <row r="1980" spans="1:12" s="90" customFormat="1" ht="15">
      <c r="A1980" s="99"/>
      <c r="B1980" s="116" t="s">
        <v>210</v>
      </c>
      <c r="C1980" s="106">
        <v>2246960</v>
      </c>
      <c r="D1980" s="106">
        <v>2246960</v>
      </c>
      <c r="E1980" s="106">
        <v>0</v>
      </c>
      <c r="F1980" s="599">
        <f>+E1980/D1980</f>
        <v>0</v>
      </c>
      <c r="G1980" s="99" t="s">
        <v>112</v>
      </c>
      <c r="H1980" s="116" t="s">
        <v>147</v>
      </c>
      <c r="I1980" s="106">
        <v>222250</v>
      </c>
      <c r="J1980" s="106">
        <v>222250</v>
      </c>
      <c r="K1980" s="106">
        <v>0</v>
      </c>
      <c r="L1980" s="599">
        <f>+K1980/J1980</f>
        <v>0</v>
      </c>
    </row>
    <row r="1981" spans="1:12" s="90" customFormat="1" ht="15">
      <c r="A1981" s="99" t="s">
        <v>112</v>
      </c>
      <c r="B1981" s="116" t="s">
        <v>9</v>
      </c>
      <c r="C1981" s="106"/>
      <c r="D1981" s="106"/>
      <c r="E1981" s="106"/>
      <c r="F1981" s="599"/>
      <c r="G1981" s="99" t="s">
        <v>113</v>
      </c>
      <c r="H1981" s="116" t="s">
        <v>83</v>
      </c>
      <c r="I1981" s="106">
        <v>754710</v>
      </c>
      <c r="J1981" s="106">
        <v>754710</v>
      </c>
      <c r="K1981" s="106">
        <v>0</v>
      </c>
      <c r="L1981" s="599">
        <f>+K1981/J1981+IF(L1981=0/0,0%)</f>
        <v>0</v>
      </c>
    </row>
    <row r="1982" spans="1:12" s="90" customFormat="1" ht="15">
      <c r="A1982" s="99" t="s">
        <v>113</v>
      </c>
      <c r="B1982" s="116" t="s">
        <v>170</v>
      </c>
      <c r="C1982" s="106"/>
      <c r="D1982" s="106"/>
      <c r="E1982" s="106"/>
      <c r="F1982" s="599"/>
      <c r="G1982" s="99" t="s">
        <v>114</v>
      </c>
      <c r="H1982" s="116" t="s">
        <v>84</v>
      </c>
      <c r="I1982" s="106"/>
      <c r="J1982" s="106"/>
      <c r="K1982" s="106"/>
      <c r="L1982" s="599"/>
    </row>
    <row r="1983" spans="1:12" s="90" customFormat="1" ht="15">
      <c r="A1983" s="99" t="s">
        <v>114</v>
      </c>
      <c r="B1983" s="116" t="s">
        <v>181</v>
      </c>
      <c r="C1983" s="106"/>
      <c r="D1983" s="106"/>
      <c r="E1983" s="106"/>
      <c r="F1983" s="599"/>
      <c r="G1983" s="99" t="s">
        <v>115</v>
      </c>
      <c r="H1983" s="116" t="s">
        <v>211</v>
      </c>
      <c r="I1983" s="106"/>
      <c r="J1983" s="106"/>
      <c r="K1983" s="106"/>
      <c r="L1983" s="599"/>
    </row>
    <row r="1984" spans="1:12" s="90" customFormat="1" ht="15">
      <c r="A1984" s="112" t="s">
        <v>45</v>
      </c>
      <c r="B1984" s="100" t="s">
        <v>118</v>
      </c>
      <c r="C1984" s="101"/>
      <c r="D1984" s="101"/>
      <c r="E1984" s="101"/>
      <c r="F1984" s="102"/>
      <c r="G1984" s="112" t="s">
        <v>45</v>
      </c>
      <c r="H1984" s="100" t="s">
        <v>130</v>
      </c>
      <c r="I1984" s="101"/>
      <c r="J1984" s="101"/>
      <c r="K1984" s="101"/>
      <c r="L1984" s="102"/>
    </row>
    <row r="1985" spans="1:12" s="90" customFormat="1" ht="15">
      <c r="A1985" s="112" t="s">
        <v>111</v>
      </c>
      <c r="B1985" s="100" t="s">
        <v>106</v>
      </c>
      <c r="C1985" s="106"/>
      <c r="D1985" s="106"/>
      <c r="E1985" s="106"/>
      <c r="F1985" s="599"/>
      <c r="G1985" s="112" t="s">
        <v>111</v>
      </c>
      <c r="H1985" s="100" t="s">
        <v>131</v>
      </c>
      <c r="I1985" s="106"/>
      <c r="J1985" s="106"/>
      <c r="K1985" s="106"/>
      <c r="L1985" s="599"/>
    </row>
    <row r="1986" spans="1:12" s="90" customFormat="1" ht="15">
      <c r="A1986" s="112" t="s">
        <v>112</v>
      </c>
      <c r="B1986" s="100" t="s">
        <v>39</v>
      </c>
      <c r="C1986" s="106"/>
      <c r="D1986" s="106"/>
      <c r="E1986" s="106"/>
      <c r="F1986" s="599"/>
      <c r="G1986" s="112" t="s">
        <v>112</v>
      </c>
      <c r="H1986" s="100" t="s">
        <v>87</v>
      </c>
      <c r="I1986" s="106"/>
      <c r="J1986" s="106"/>
      <c r="K1986" s="106"/>
      <c r="L1986" s="599"/>
    </row>
    <row r="1987" spans="1:12" s="90" customFormat="1" ht="15">
      <c r="A1987" s="112" t="s">
        <v>113</v>
      </c>
      <c r="B1987" s="100" t="s">
        <v>201</v>
      </c>
      <c r="C1987" s="106"/>
      <c r="D1987" s="106"/>
      <c r="E1987" s="106"/>
      <c r="F1987" s="599"/>
      <c r="G1987" s="112" t="s">
        <v>113</v>
      </c>
      <c r="H1987" s="100" t="s">
        <v>90</v>
      </c>
      <c r="I1987" s="106"/>
      <c r="J1987" s="106"/>
      <c r="K1987" s="106"/>
      <c r="L1987" s="599"/>
    </row>
    <row r="1988" spans="1:12" s="90" customFormat="1" ht="15">
      <c r="A1988" s="112" t="s">
        <v>56</v>
      </c>
      <c r="B1988" s="100" t="s">
        <v>126</v>
      </c>
      <c r="C1988" s="101"/>
      <c r="D1988" s="101"/>
      <c r="E1988" s="101"/>
      <c r="F1988" s="102"/>
      <c r="G1988" s="112" t="s">
        <v>56</v>
      </c>
      <c r="H1988" s="100" t="s">
        <v>132</v>
      </c>
      <c r="I1988" s="101"/>
      <c r="J1988" s="101"/>
      <c r="K1988" s="101"/>
      <c r="L1988" s="102"/>
    </row>
    <row r="1989" spans="1:12" s="90" customFormat="1" ht="15">
      <c r="A1989" s="99" t="s">
        <v>64</v>
      </c>
      <c r="B1989" s="116" t="s">
        <v>127</v>
      </c>
      <c r="C1989" s="101"/>
      <c r="D1989" s="101"/>
      <c r="E1989" s="101"/>
      <c r="F1989" s="102"/>
      <c r="G1989" s="99" t="s">
        <v>64</v>
      </c>
      <c r="H1989" s="116" t="s">
        <v>133</v>
      </c>
      <c r="I1989" s="101"/>
      <c r="J1989" s="101"/>
      <c r="K1989" s="101"/>
      <c r="L1989" s="102"/>
    </row>
    <row r="1990" spans="1:12" s="90" customFormat="1" ht="15.75" thickBot="1">
      <c r="A1990" s="117"/>
      <c r="B1990" s="118" t="s">
        <v>148</v>
      </c>
      <c r="C1990" s="88">
        <f>+C1989+C1988+C1984+C1978</f>
        <v>2246960</v>
      </c>
      <c r="D1990" s="88">
        <f>+D1989+D1988+D1984+D1978</f>
        <v>2246960</v>
      </c>
      <c r="E1990" s="88">
        <f>+E1978+E1984+E1988+E1989</f>
        <v>0</v>
      </c>
      <c r="F1990" s="119">
        <f>+E1990/D1990</f>
        <v>0</v>
      </c>
      <c r="G1990" s="117"/>
      <c r="H1990" s="118" t="s">
        <v>149</v>
      </c>
      <c r="I1990" s="88">
        <f>+I1989+I1988+I1984+I1978</f>
        <v>2246960</v>
      </c>
      <c r="J1990" s="88">
        <f>+J1989+J1988+J1984+J1978</f>
        <v>2246960</v>
      </c>
      <c r="K1990" s="88">
        <f>+K1989+K1988+K1984+K1978</f>
        <v>0</v>
      </c>
      <c r="L1990" s="119">
        <f>+K1990/J1990</f>
        <v>0</v>
      </c>
    </row>
    <row r="1991" spans="1:12" s="90" customFormat="1" ht="15">
      <c r="A1991" s="124"/>
      <c r="B1991" s="124"/>
      <c r="C1991" s="93"/>
      <c r="D1991" s="93"/>
      <c r="E1991" s="93"/>
      <c r="F1991" s="93"/>
      <c r="G1991" s="124"/>
      <c r="H1991" s="124"/>
      <c r="I1991" s="93"/>
      <c r="J1991" s="93"/>
      <c r="K1991" s="93"/>
      <c r="L1991" s="93"/>
    </row>
    <row r="1992" spans="1:12" s="90" customFormat="1" ht="15.75" thickBot="1">
      <c r="A1992" s="90" t="s">
        <v>898</v>
      </c>
      <c r="B1992" s="124"/>
      <c r="C1992" s="93"/>
      <c r="D1992" s="93"/>
      <c r="E1992" s="93"/>
      <c r="F1992" s="93"/>
      <c r="G1992" s="124"/>
      <c r="H1992" s="124"/>
      <c r="I1992" s="93"/>
      <c r="J1992" s="93"/>
      <c r="K1992" s="93"/>
      <c r="L1992" s="596" t="s">
        <v>216</v>
      </c>
    </row>
    <row r="1993" spans="1:12" s="90" customFormat="1" ht="28.5">
      <c r="A1993" s="96"/>
      <c r="B1993" s="97" t="s">
        <v>104</v>
      </c>
      <c r="C1993" s="86" t="s">
        <v>227</v>
      </c>
      <c r="D1993" s="86" t="s">
        <v>844</v>
      </c>
      <c r="E1993" s="86" t="s">
        <v>303</v>
      </c>
      <c r="F1993" s="87" t="s">
        <v>304</v>
      </c>
      <c r="G1993" s="96">
        <v>162</v>
      </c>
      <c r="H1993" s="97" t="s">
        <v>105</v>
      </c>
      <c r="I1993" s="86" t="s">
        <v>227</v>
      </c>
      <c r="J1993" s="86" t="s">
        <v>844</v>
      </c>
      <c r="K1993" s="86" t="s">
        <v>303</v>
      </c>
      <c r="L1993" s="87" t="s">
        <v>304</v>
      </c>
    </row>
    <row r="1994" spans="1:12" s="90" customFormat="1" ht="15">
      <c r="A1994" s="99" t="s">
        <v>23</v>
      </c>
      <c r="B1994" s="100" t="s">
        <v>108</v>
      </c>
      <c r="C1994" s="101">
        <f>+C1995+C1997+C1998+C1999</f>
        <v>928725</v>
      </c>
      <c r="D1994" s="101">
        <f>+D1995+D1997+D1998+D1999</f>
        <v>928725</v>
      </c>
      <c r="E1994" s="101">
        <f>+E1995+E1997+E1998+E1999</f>
        <v>0</v>
      </c>
      <c r="F1994" s="102">
        <f>+E1994/D1994</f>
        <v>0</v>
      </c>
      <c r="G1994" s="99" t="s">
        <v>23</v>
      </c>
      <c r="H1994" s="100" t="s">
        <v>129</v>
      </c>
      <c r="I1994" s="101">
        <f>SUM(I1995:I1999)</f>
        <v>928725</v>
      </c>
      <c r="J1994" s="101">
        <f>SUM(J1995:J1999)</f>
        <v>928725</v>
      </c>
      <c r="K1994" s="101">
        <f>SUM(K1995:K1999)</f>
        <v>0</v>
      </c>
      <c r="L1994" s="102">
        <f>+K1994/J1994</f>
        <v>0</v>
      </c>
    </row>
    <row r="1995" spans="1:12" s="90" customFormat="1" ht="15">
      <c r="A1995" s="99" t="s">
        <v>111</v>
      </c>
      <c r="B1995" s="116" t="s">
        <v>209</v>
      </c>
      <c r="C1995" s="106">
        <f>+C1996</f>
        <v>928725</v>
      </c>
      <c r="D1995" s="106">
        <f>+D1996</f>
        <v>928725</v>
      </c>
      <c r="E1995" s="106">
        <f>E1996</f>
        <v>0</v>
      </c>
      <c r="F1995" s="599">
        <f>+E1995/D1995</f>
        <v>0</v>
      </c>
      <c r="G1995" s="99" t="s">
        <v>111</v>
      </c>
      <c r="H1995" s="116" t="s">
        <v>80</v>
      </c>
      <c r="I1995" s="106">
        <v>374225</v>
      </c>
      <c r="J1995" s="106">
        <v>374225</v>
      </c>
      <c r="K1995" s="106">
        <v>0</v>
      </c>
      <c r="L1995" s="599">
        <f>+K1995/J1995</f>
        <v>0</v>
      </c>
    </row>
    <row r="1996" spans="1:12" s="90" customFormat="1" ht="15">
      <c r="A1996" s="99"/>
      <c r="B1996" s="116" t="s">
        <v>210</v>
      </c>
      <c r="C1996" s="106">
        <v>928725</v>
      </c>
      <c r="D1996" s="106">
        <v>928725</v>
      </c>
      <c r="E1996" s="106">
        <v>0</v>
      </c>
      <c r="F1996" s="599">
        <f>+E1996/D1996</f>
        <v>0</v>
      </c>
      <c r="G1996" s="99" t="s">
        <v>112</v>
      </c>
      <c r="H1996" s="116" t="s">
        <v>147</v>
      </c>
      <c r="I1996" s="106">
        <v>110000</v>
      </c>
      <c r="J1996" s="106">
        <v>110000</v>
      </c>
      <c r="K1996" s="106">
        <v>0</v>
      </c>
      <c r="L1996" s="599">
        <f>+K1996/J1996</f>
        <v>0</v>
      </c>
    </row>
    <row r="1997" spans="1:12" s="90" customFormat="1" ht="15">
      <c r="A1997" s="99" t="s">
        <v>112</v>
      </c>
      <c r="B1997" s="116" t="s">
        <v>9</v>
      </c>
      <c r="C1997" s="106"/>
      <c r="D1997" s="106"/>
      <c r="E1997" s="106"/>
      <c r="F1997" s="599"/>
      <c r="G1997" s="99" t="s">
        <v>113</v>
      </c>
      <c r="H1997" s="116" t="s">
        <v>83</v>
      </c>
      <c r="I1997" s="106">
        <v>444500</v>
      </c>
      <c r="J1997" s="106">
        <v>444500</v>
      </c>
      <c r="K1997" s="106">
        <v>0</v>
      </c>
      <c r="L1997" s="599">
        <f>+K1997/J1997+IF(L1997=0/0,0%)</f>
        <v>0</v>
      </c>
    </row>
    <row r="1998" spans="1:12" s="90" customFormat="1" ht="15">
      <c r="A1998" s="99" t="s">
        <v>113</v>
      </c>
      <c r="B1998" s="116" t="s">
        <v>170</v>
      </c>
      <c r="C1998" s="106"/>
      <c r="D1998" s="106"/>
      <c r="E1998" s="106"/>
      <c r="F1998" s="599"/>
      <c r="G1998" s="99" t="s">
        <v>114</v>
      </c>
      <c r="H1998" s="116" t="s">
        <v>84</v>
      </c>
      <c r="I1998" s="106"/>
      <c r="J1998" s="106"/>
      <c r="K1998" s="106"/>
      <c r="L1998" s="599"/>
    </row>
    <row r="1999" spans="1:12" s="90" customFormat="1" ht="15">
      <c r="A1999" s="99" t="s">
        <v>114</v>
      </c>
      <c r="B1999" s="116" t="s">
        <v>181</v>
      </c>
      <c r="C1999" s="106"/>
      <c r="D1999" s="106"/>
      <c r="E1999" s="106"/>
      <c r="F1999" s="599"/>
      <c r="G1999" s="99" t="s">
        <v>115</v>
      </c>
      <c r="H1999" s="116" t="s">
        <v>211</v>
      </c>
      <c r="I1999" s="106"/>
      <c r="J1999" s="106"/>
      <c r="K1999" s="106"/>
      <c r="L1999" s="599"/>
    </row>
    <row r="2000" spans="1:12" s="90" customFormat="1" ht="15">
      <c r="A2000" s="112" t="s">
        <v>45</v>
      </c>
      <c r="B2000" s="100" t="s">
        <v>118</v>
      </c>
      <c r="C2000" s="101"/>
      <c r="D2000" s="101"/>
      <c r="E2000" s="101"/>
      <c r="F2000" s="102"/>
      <c r="G2000" s="112" t="s">
        <v>45</v>
      </c>
      <c r="H2000" s="100" t="s">
        <v>130</v>
      </c>
      <c r="I2000" s="101"/>
      <c r="J2000" s="101"/>
      <c r="K2000" s="101"/>
      <c r="L2000" s="102"/>
    </row>
    <row r="2001" spans="1:12" s="90" customFormat="1" ht="15">
      <c r="A2001" s="112" t="s">
        <v>111</v>
      </c>
      <c r="B2001" s="100" t="s">
        <v>106</v>
      </c>
      <c r="C2001" s="106"/>
      <c r="D2001" s="106"/>
      <c r="E2001" s="106"/>
      <c r="F2001" s="599"/>
      <c r="G2001" s="112" t="s">
        <v>111</v>
      </c>
      <c r="H2001" s="100" t="s">
        <v>131</v>
      </c>
      <c r="I2001" s="106"/>
      <c r="J2001" s="106"/>
      <c r="K2001" s="106"/>
      <c r="L2001" s="599"/>
    </row>
    <row r="2002" spans="1:12" s="90" customFormat="1" ht="15">
      <c r="A2002" s="112" t="s">
        <v>112</v>
      </c>
      <c r="B2002" s="100" t="s">
        <v>39</v>
      </c>
      <c r="C2002" s="106"/>
      <c r="D2002" s="106"/>
      <c r="E2002" s="106"/>
      <c r="F2002" s="599"/>
      <c r="G2002" s="112" t="s">
        <v>112</v>
      </c>
      <c r="H2002" s="100" t="s">
        <v>87</v>
      </c>
      <c r="I2002" s="106"/>
      <c r="J2002" s="106"/>
      <c r="K2002" s="106"/>
      <c r="L2002" s="599"/>
    </row>
    <row r="2003" spans="1:12" s="90" customFormat="1" ht="15">
      <c r="A2003" s="112" t="s">
        <v>113</v>
      </c>
      <c r="B2003" s="100" t="s">
        <v>201</v>
      </c>
      <c r="C2003" s="106"/>
      <c r="D2003" s="106"/>
      <c r="E2003" s="106"/>
      <c r="F2003" s="599"/>
      <c r="G2003" s="112" t="s">
        <v>113</v>
      </c>
      <c r="H2003" s="100" t="s">
        <v>90</v>
      </c>
      <c r="I2003" s="106"/>
      <c r="J2003" s="106"/>
      <c r="K2003" s="106"/>
      <c r="L2003" s="599"/>
    </row>
    <row r="2004" spans="1:12" s="90" customFormat="1" ht="15">
      <c r="A2004" s="112" t="s">
        <v>56</v>
      </c>
      <c r="B2004" s="100" t="s">
        <v>126</v>
      </c>
      <c r="C2004" s="101"/>
      <c r="D2004" s="101"/>
      <c r="E2004" s="101"/>
      <c r="F2004" s="102"/>
      <c r="G2004" s="112" t="s">
        <v>56</v>
      </c>
      <c r="H2004" s="100" t="s">
        <v>132</v>
      </c>
      <c r="I2004" s="101"/>
      <c r="J2004" s="101"/>
      <c r="K2004" s="101"/>
      <c r="L2004" s="102"/>
    </row>
    <row r="2005" spans="1:12" s="90" customFormat="1" ht="15">
      <c r="A2005" s="99" t="s">
        <v>64</v>
      </c>
      <c r="B2005" s="116" t="s">
        <v>127</v>
      </c>
      <c r="C2005" s="101"/>
      <c r="D2005" s="101"/>
      <c r="E2005" s="101"/>
      <c r="F2005" s="102"/>
      <c r="G2005" s="99" t="s">
        <v>64</v>
      </c>
      <c r="H2005" s="116" t="s">
        <v>133</v>
      </c>
      <c r="I2005" s="101"/>
      <c r="J2005" s="101"/>
      <c r="K2005" s="101"/>
      <c r="L2005" s="102"/>
    </row>
    <row r="2006" spans="1:12" s="90" customFormat="1" ht="15.75" thickBot="1">
      <c r="A2006" s="117"/>
      <c r="B2006" s="118" t="s">
        <v>148</v>
      </c>
      <c r="C2006" s="88">
        <f>+C2005+C2004+C2000+C1994</f>
        <v>928725</v>
      </c>
      <c r="D2006" s="88">
        <f>+D2005+D2004+D2000+D1994</f>
        <v>928725</v>
      </c>
      <c r="E2006" s="88">
        <f>+E1994+E2000+E2004+E2005</f>
        <v>0</v>
      </c>
      <c r="F2006" s="119">
        <f>+E2006/D2006</f>
        <v>0</v>
      </c>
      <c r="G2006" s="117"/>
      <c r="H2006" s="118" t="s">
        <v>149</v>
      </c>
      <c r="I2006" s="88">
        <f>+I2005+I2004+I2000+I1994</f>
        <v>928725</v>
      </c>
      <c r="J2006" s="88">
        <f>+J2005+J2004+J2000+J1994</f>
        <v>928725</v>
      </c>
      <c r="K2006" s="88">
        <f>+K2005+K2004+K2000+K1994</f>
        <v>0</v>
      </c>
      <c r="L2006" s="119">
        <f>+K2006/J2006</f>
        <v>0</v>
      </c>
    </row>
    <row r="2007" spans="1:12" s="90" customFormat="1" ht="15">
      <c r="A2007" s="124"/>
      <c r="B2007" s="124"/>
      <c r="C2007" s="93"/>
      <c r="D2007" s="93"/>
      <c r="E2007" s="93"/>
      <c r="F2007" s="93"/>
      <c r="G2007" s="124"/>
      <c r="H2007" s="124"/>
      <c r="I2007" s="93"/>
      <c r="J2007" s="93"/>
      <c r="K2007" s="93"/>
      <c r="L2007" s="93"/>
    </row>
    <row r="2008" spans="1:12" s="90" customFormat="1" ht="15.75" thickBot="1">
      <c r="A2008" s="90" t="s">
        <v>860</v>
      </c>
      <c r="B2008" s="124"/>
      <c r="C2008" s="93"/>
      <c r="D2008" s="93"/>
      <c r="E2008" s="93"/>
      <c r="F2008" s="93"/>
      <c r="G2008" s="124"/>
      <c r="H2008" s="124"/>
      <c r="I2008" s="93"/>
      <c r="J2008" s="93"/>
      <c r="K2008" s="93"/>
      <c r="L2008" s="596" t="s">
        <v>216</v>
      </c>
    </row>
    <row r="2009" spans="1:12" s="90" customFormat="1" ht="28.5">
      <c r="A2009" s="96"/>
      <c r="B2009" s="97" t="s">
        <v>104</v>
      </c>
      <c r="C2009" s="86" t="s">
        <v>227</v>
      </c>
      <c r="D2009" s="86" t="s">
        <v>844</v>
      </c>
      <c r="E2009" s="86" t="s">
        <v>303</v>
      </c>
      <c r="F2009" s="87" t="s">
        <v>304</v>
      </c>
      <c r="G2009" s="96">
        <v>175</v>
      </c>
      <c r="H2009" s="97" t="s">
        <v>105</v>
      </c>
      <c r="I2009" s="86" t="s">
        <v>227</v>
      </c>
      <c r="J2009" s="86" t="s">
        <v>844</v>
      </c>
      <c r="K2009" s="86" t="s">
        <v>303</v>
      </c>
      <c r="L2009" s="87" t="s">
        <v>304</v>
      </c>
    </row>
    <row r="2010" spans="1:12" s="90" customFormat="1" ht="15">
      <c r="A2010" s="99" t="s">
        <v>23</v>
      </c>
      <c r="B2010" s="100" t="s">
        <v>108</v>
      </c>
      <c r="C2010" s="101">
        <f>+C2011+C2013+C2014+C2015</f>
        <v>1216123</v>
      </c>
      <c r="D2010" s="101">
        <f>+D2011+D2013+D2014+D2015</f>
        <v>1216123</v>
      </c>
      <c r="E2010" s="101">
        <f>+E2011+E2013+E2014+E2015</f>
        <v>1216123</v>
      </c>
      <c r="F2010" s="102">
        <f>+E2010/D2010</f>
        <v>1</v>
      </c>
      <c r="G2010" s="99" t="s">
        <v>23</v>
      </c>
      <c r="H2010" s="100" t="s">
        <v>129</v>
      </c>
      <c r="I2010" s="101">
        <f>SUM(I2011:I2015)</f>
        <v>1216123</v>
      </c>
      <c r="J2010" s="101">
        <f>SUM(J2011:J2015)</f>
        <v>1216123</v>
      </c>
      <c r="K2010" s="101">
        <f>SUM(K2011:K2015)</f>
        <v>242989</v>
      </c>
      <c r="L2010" s="102">
        <f>+K2010/J2010</f>
        <v>0.19980626959608527</v>
      </c>
    </row>
    <row r="2011" spans="1:12" s="90" customFormat="1" ht="15">
      <c r="A2011" s="99" t="s">
        <v>111</v>
      </c>
      <c r="B2011" s="116" t="s">
        <v>209</v>
      </c>
      <c r="C2011" s="106">
        <f>+C2012</f>
        <v>1216123</v>
      </c>
      <c r="D2011" s="106">
        <f>+D2012</f>
        <v>1216123</v>
      </c>
      <c r="E2011" s="106">
        <f>E2012</f>
        <v>1216123</v>
      </c>
      <c r="F2011" s="599">
        <f>+E2011/D2011</f>
        <v>1</v>
      </c>
      <c r="G2011" s="99" t="s">
        <v>111</v>
      </c>
      <c r="H2011" s="116" t="s">
        <v>80</v>
      </c>
      <c r="I2011" s="106">
        <v>1052920</v>
      </c>
      <c r="J2011" s="106">
        <v>1052920</v>
      </c>
      <c r="K2011" s="106">
        <v>210380</v>
      </c>
      <c r="L2011" s="599">
        <f>+K2011/J2011</f>
        <v>0.19980625308665426</v>
      </c>
    </row>
    <row r="2012" spans="1:12" s="90" customFormat="1" ht="15">
      <c r="A2012" s="99"/>
      <c r="B2012" s="116" t="s">
        <v>210</v>
      </c>
      <c r="C2012" s="106">
        <v>1216123</v>
      </c>
      <c r="D2012" s="106">
        <v>1216123</v>
      </c>
      <c r="E2012" s="106">
        <v>1216123</v>
      </c>
      <c r="F2012" s="599">
        <f>+E2012/D2012</f>
        <v>1</v>
      </c>
      <c r="G2012" s="99" t="s">
        <v>112</v>
      </c>
      <c r="H2012" s="116" t="s">
        <v>147</v>
      </c>
      <c r="I2012" s="106">
        <v>163203</v>
      </c>
      <c r="J2012" s="106">
        <v>163203</v>
      </c>
      <c r="K2012" s="106">
        <v>32609</v>
      </c>
      <c r="L2012" s="599">
        <f>+K2012/J2012</f>
        <v>0.19980637610828234</v>
      </c>
    </row>
    <row r="2013" spans="1:12" s="90" customFormat="1" ht="15">
      <c r="A2013" s="99" t="s">
        <v>112</v>
      </c>
      <c r="B2013" s="116" t="s">
        <v>9</v>
      </c>
      <c r="C2013" s="106"/>
      <c r="D2013" s="106"/>
      <c r="E2013" s="106"/>
      <c r="F2013" s="599"/>
      <c r="G2013" s="99" t="s">
        <v>113</v>
      </c>
      <c r="H2013" s="116" t="s">
        <v>83</v>
      </c>
      <c r="I2013" s="106"/>
      <c r="J2013" s="106"/>
      <c r="K2013" s="106"/>
      <c r="L2013" s="599"/>
    </row>
    <row r="2014" spans="1:12" s="90" customFormat="1" ht="15">
      <c r="A2014" s="99" t="s">
        <v>113</v>
      </c>
      <c r="B2014" s="116" t="s">
        <v>170</v>
      </c>
      <c r="C2014" s="106"/>
      <c r="D2014" s="106"/>
      <c r="E2014" s="106"/>
      <c r="F2014" s="599"/>
      <c r="G2014" s="99" t="s">
        <v>114</v>
      </c>
      <c r="H2014" s="116" t="s">
        <v>84</v>
      </c>
      <c r="I2014" s="106"/>
      <c r="J2014" s="106"/>
      <c r="K2014" s="106"/>
      <c r="L2014" s="599"/>
    </row>
    <row r="2015" spans="1:12" s="90" customFormat="1" ht="15">
      <c r="A2015" s="99" t="s">
        <v>114</v>
      </c>
      <c r="B2015" s="116" t="s">
        <v>181</v>
      </c>
      <c r="C2015" s="106"/>
      <c r="D2015" s="106"/>
      <c r="E2015" s="106"/>
      <c r="F2015" s="599"/>
      <c r="G2015" s="99" t="s">
        <v>115</v>
      </c>
      <c r="H2015" s="116" t="s">
        <v>211</v>
      </c>
      <c r="I2015" s="106"/>
      <c r="J2015" s="106"/>
      <c r="K2015" s="106"/>
      <c r="L2015" s="599"/>
    </row>
    <row r="2016" spans="1:12" s="90" customFormat="1" ht="15">
      <c r="A2016" s="112" t="s">
        <v>45</v>
      </c>
      <c r="B2016" s="100" t="s">
        <v>118</v>
      </c>
      <c r="C2016" s="101"/>
      <c r="D2016" s="101"/>
      <c r="E2016" s="101"/>
      <c r="F2016" s="102"/>
      <c r="G2016" s="112" t="s">
        <v>45</v>
      </c>
      <c r="H2016" s="100" t="s">
        <v>130</v>
      </c>
      <c r="I2016" s="101"/>
      <c r="J2016" s="101"/>
      <c r="K2016" s="101"/>
      <c r="L2016" s="102"/>
    </row>
    <row r="2017" spans="1:12" s="90" customFormat="1" ht="15">
      <c r="A2017" s="112" t="s">
        <v>111</v>
      </c>
      <c r="B2017" s="100" t="s">
        <v>106</v>
      </c>
      <c r="C2017" s="106"/>
      <c r="D2017" s="106"/>
      <c r="E2017" s="106"/>
      <c r="F2017" s="599"/>
      <c r="G2017" s="112" t="s">
        <v>111</v>
      </c>
      <c r="H2017" s="100" t="s">
        <v>131</v>
      </c>
      <c r="I2017" s="106"/>
      <c r="J2017" s="106"/>
      <c r="K2017" s="106"/>
      <c r="L2017" s="599"/>
    </row>
    <row r="2018" spans="1:12" s="90" customFormat="1" ht="15">
      <c r="A2018" s="112" t="s">
        <v>112</v>
      </c>
      <c r="B2018" s="100" t="s">
        <v>39</v>
      </c>
      <c r="C2018" s="106"/>
      <c r="D2018" s="106"/>
      <c r="E2018" s="106"/>
      <c r="F2018" s="599"/>
      <c r="G2018" s="112" t="s">
        <v>112</v>
      </c>
      <c r="H2018" s="100" t="s">
        <v>87</v>
      </c>
      <c r="I2018" s="106"/>
      <c r="J2018" s="106"/>
      <c r="K2018" s="106"/>
      <c r="L2018" s="599"/>
    </row>
    <row r="2019" spans="1:12" s="90" customFormat="1" ht="15">
      <c r="A2019" s="112" t="s">
        <v>113</v>
      </c>
      <c r="B2019" s="100" t="s">
        <v>201</v>
      </c>
      <c r="C2019" s="106"/>
      <c r="D2019" s="106"/>
      <c r="E2019" s="106"/>
      <c r="F2019" s="599"/>
      <c r="G2019" s="112" t="s">
        <v>113</v>
      </c>
      <c r="H2019" s="100" t="s">
        <v>90</v>
      </c>
      <c r="I2019" s="106"/>
      <c r="J2019" s="106"/>
      <c r="K2019" s="106"/>
      <c r="L2019" s="599"/>
    </row>
    <row r="2020" spans="1:12" s="90" customFormat="1" ht="15">
      <c r="A2020" s="112" t="s">
        <v>56</v>
      </c>
      <c r="B2020" s="100" t="s">
        <v>126</v>
      </c>
      <c r="C2020" s="101"/>
      <c r="D2020" s="101"/>
      <c r="E2020" s="101"/>
      <c r="F2020" s="102"/>
      <c r="G2020" s="112" t="s">
        <v>56</v>
      </c>
      <c r="H2020" s="100" t="s">
        <v>132</v>
      </c>
      <c r="I2020" s="101"/>
      <c r="J2020" s="101"/>
      <c r="K2020" s="101"/>
      <c r="L2020" s="102"/>
    </row>
    <row r="2021" spans="1:12" s="90" customFormat="1" ht="15">
      <c r="A2021" s="99" t="s">
        <v>64</v>
      </c>
      <c r="B2021" s="116" t="s">
        <v>127</v>
      </c>
      <c r="C2021" s="101"/>
      <c r="D2021" s="101"/>
      <c r="E2021" s="101"/>
      <c r="F2021" s="102"/>
      <c r="G2021" s="99" t="s">
        <v>64</v>
      </c>
      <c r="H2021" s="116" t="s">
        <v>133</v>
      </c>
      <c r="I2021" s="101"/>
      <c r="J2021" s="101"/>
      <c r="K2021" s="101"/>
      <c r="L2021" s="102"/>
    </row>
    <row r="2022" spans="1:12" s="90" customFormat="1" ht="15.75" thickBot="1">
      <c r="A2022" s="117"/>
      <c r="B2022" s="118" t="s">
        <v>148</v>
      </c>
      <c r="C2022" s="88">
        <f>+C2021+C2020+C2016+C2010</f>
        <v>1216123</v>
      </c>
      <c r="D2022" s="88">
        <f>+D2021+D2020+D2016+D2010</f>
        <v>1216123</v>
      </c>
      <c r="E2022" s="88">
        <f>+E2010+E2016+E2020+E2021</f>
        <v>1216123</v>
      </c>
      <c r="F2022" s="119">
        <f>+E2022/D2022</f>
        <v>1</v>
      </c>
      <c r="G2022" s="117"/>
      <c r="H2022" s="118" t="s">
        <v>149</v>
      </c>
      <c r="I2022" s="88">
        <f>+I2021+I2020+I2016+I2010</f>
        <v>1216123</v>
      </c>
      <c r="J2022" s="88">
        <f>+J2021+J2020+J2016+J2010</f>
        <v>1216123</v>
      </c>
      <c r="K2022" s="88">
        <f>+K2021+K2020+K2016+K2010</f>
        <v>242989</v>
      </c>
      <c r="L2022" s="119">
        <f>+K2022/J2022</f>
        <v>0.19980626959608527</v>
      </c>
    </row>
    <row r="2023" spans="1:12" s="90" customFormat="1" ht="15">
      <c r="A2023" s="124"/>
      <c r="B2023" s="124"/>
      <c r="C2023" s="93"/>
      <c r="D2023" s="93"/>
      <c r="E2023" s="93"/>
      <c r="F2023" s="93"/>
      <c r="G2023" s="124"/>
      <c r="H2023" s="124"/>
      <c r="I2023" s="93"/>
      <c r="J2023" s="93"/>
      <c r="K2023" s="93"/>
      <c r="L2023" s="93"/>
    </row>
    <row r="2024" spans="1:12" s="90" customFormat="1" ht="15.75" thickBot="1">
      <c r="A2024" s="746" t="s">
        <v>845</v>
      </c>
      <c r="B2024" s="753"/>
      <c r="C2024" s="644"/>
      <c r="D2024" s="93"/>
      <c r="E2024" s="93"/>
      <c r="F2024" s="93"/>
      <c r="G2024" s="124"/>
      <c r="H2024" s="124"/>
      <c r="I2024" s="93"/>
      <c r="J2024" s="595" t="s">
        <v>216</v>
      </c>
      <c r="K2024" s="93"/>
      <c r="L2024" s="596" t="s">
        <v>216</v>
      </c>
    </row>
    <row r="2025" spans="1:12" s="90" customFormat="1" ht="28.5">
      <c r="A2025" s="96"/>
      <c r="B2025" s="97" t="s">
        <v>104</v>
      </c>
      <c r="C2025" s="86" t="s">
        <v>227</v>
      </c>
      <c r="D2025" s="86" t="s">
        <v>844</v>
      </c>
      <c r="E2025" s="86" t="s">
        <v>303</v>
      </c>
      <c r="F2025" s="87" t="s">
        <v>304</v>
      </c>
      <c r="G2025" s="96">
        <v>176</v>
      </c>
      <c r="H2025" s="97" t="s">
        <v>105</v>
      </c>
      <c r="I2025" s="86" t="s">
        <v>227</v>
      </c>
      <c r="J2025" s="86" t="s">
        <v>844</v>
      </c>
      <c r="K2025" s="86" t="s">
        <v>303</v>
      </c>
      <c r="L2025" s="87" t="s">
        <v>304</v>
      </c>
    </row>
    <row r="2026" spans="1:12" s="90" customFormat="1" ht="15">
      <c r="A2026" s="99" t="s">
        <v>23</v>
      </c>
      <c r="B2026" s="100" t="s">
        <v>108</v>
      </c>
      <c r="C2026" s="101"/>
      <c r="D2026" s="101"/>
      <c r="E2026" s="101"/>
      <c r="F2026" s="102"/>
      <c r="G2026" s="99" t="s">
        <v>23</v>
      </c>
      <c r="H2026" s="100" t="s">
        <v>129</v>
      </c>
      <c r="I2026" s="101">
        <f>I2027+I2028+I2029+I2030+I2031</f>
        <v>12295750</v>
      </c>
      <c r="J2026" s="101">
        <f>J2027+J2028+J2029+J2030+J2031</f>
        <v>12295750</v>
      </c>
      <c r="K2026" s="101">
        <f>SUM(K2027:K2031)</f>
        <v>0</v>
      </c>
      <c r="L2026" s="102">
        <f>+K2026/J2026</f>
        <v>0</v>
      </c>
    </row>
    <row r="2027" spans="1:12" s="90" customFormat="1" ht="15">
      <c r="A2027" s="99" t="s">
        <v>111</v>
      </c>
      <c r="B2027" s="116" t="s">
        <v>209</v>
      </c>
      <c r="C2027" s="106"/>
      <c r="D2027" s="106"/>
      <c r="E2027" s="106"/>
      <c r="F2027" s="599"/>
      <c r="G2027" s="99" t="s">
        <v>111</v>
      </c>
      <c r="H2027" s="116" t="s">
        <v>80</v>
      </c>
      <c r="I2027" s="106">
        <v>10645671</v>
      </c>
      <c r="J2027" s="106">
        <v>10645671</v>
      </c>
      <c r="K2027" s="106">
        <v>0</v>
      </c>
      <c r="L2027" s="599">
        <f>+K2027/J2027</f>
        <v>0</v>
      </c>
    </row>
    <row r="2028" spans="1:12" s="90" customFormat="1" ht="15">
      <c r="A2028" s="99"/>
      <c r="B2028" s="116" t="s">
        <v>210</v>
      </c>
      <c r="C2028" s="106"/>
      <c r="D2028" s="106"/>
      <c r="E2028" s="106"/>
      <c r="F2028" s="599"/>
      <c r="G2028" s="99" t="s">
        <v>112</v>
      </c>
      <c r="H2028" s="116" t="s">
        <v>147</v>
      </c>
      <c r="I2028" s="106">
        <v>1650079</v>
      </c>
      <c r="J2028" s="106">
        <v>1650079</v>
      </c>
      <c r="K2028" s="106">
        <v>0</v>
      </c>
      <c r="L2028" s="599">
        <f>+K2028/J2028</f>
        <v>0</v>
      </c>
    </row>
    <row r="2029" spans="1:12" s="90" customFormat="1" ht="15">
      <c r="A2029" s="99" t="s">
        <v>112</v>
      </c>
      <c r="B2029" s="116" t="s">
        <v>9</v>
      </c>
      <c r="C2029" s="106"/>
      <c r="D2029" s="106"/>
      <c r="E2029" s="106"/>
      <c r="F2029" s="599"/>
      <c r="G2029" s="99" t="s">
        <v>113</v>
      </c>
      <c r="H2029" s="116" t="s">
        <v>83</v>
      </c>
      <c r="I2029" s="106"/>
      <c r="J2029" s="106"/>
      <c r="K2029" s="106"/>
      <c r="L2029" s="599"/>
    </row>
    <row r="2030" spans="1:12" s="90" customFormat="1" ht="15">
      <c r="A2030" s="99" t="s">
        <v>113</v>
      </c>
      <c r="B2030" s="116" t="s">
        <v>170</v>
      </c>
      <c r="C2030" s="106"/>
      <c r="D2030" s="106"/>
      <c r="E2030" s="106"/>
      <c r="F2030" s="599"/>
      <c r="G2030" s="99" t="s">
        <v>114</v>
      </c>
      <c r="H2030" s="116" t="s">
        <v>84</v>
      </c>
      <c r="I2030" s="106"/>
      <c r="J2030" s="106"/>
      <c r="K2030" s="106"/>
      <c r="L2030" s="599"/>
    </row>
    <row r="2031" spans="1:12" s="90" customFormat="1" ht="15">
      <c r="A2031" s="99" t="s">
        <v>114</v>
      </c>
      <c r="B2031" s="116" t="s">
        <v>181</v>
      </c>
      <c r="C2031" s="106"/>
      <c r="D2031" s="106"/>
      <c r="E2031" s="106"/>
      <c r="F2031" s="599"/>
      <c r="G2031" s="99" t="s">
        <v>115</v>
      </c>
      <c r="H2031" s="116" t="s">
        <v>211</v>
      </c>
      <c r="I2031" s="106"/>
      <c r="J2031" s="106"/>
      <c r="K2031" s="106"/>
      <c r="L2031" s="599"/>
    </row>
    <row r="2032" spans="1:12" s="90" customFormat="1" ht="15">
      <c r="A2032" s="112" t="s">
        <v>45</v>
      </c>
      <c r="B2032" s="100" t="s">
        <v>118</v>
      </c>
      <c r="C2032" s="101"/>
      <c r="D2032" s="101"/>
      <c r="E2032" s="101"/>
      <c r="F2032" s="102"/>
      <c r="G2032" s="112" t="s">
        <v>45</v>
      </c>
      <c r="H2032" s="100" t="s">
        <v>130</v>
      </c>
      <c r="I2032" s="101"/>
      <c r="J2032" s="101"/>
      <c r="K2032" s="101"/>
      <c r="L2032" s="102"/>
    </row>
    <row r="2033" spans="1:12" s="90" customFormat="1" ht="15">
      <c r="A2033" s="112" t="s">
        <v>111</v>
      </c>
      <c r="B2033" s="100" t="s">
        <v>106</v>
      </c>
      <c r="C2033" s="106"/>
      <c r="D2033" s="106"/>
      <c r="E2033" s="106"/>
      <c r="F2033" s="599"/>
      <c r="G2033" s="112" t="s">
        <v>111</v>
      </c>
      <c r="H2033" s="100" t="s">
        <v>131</v>
      </c>
      <c r="I2033" s="106"/>
      <c r="J2033" s="106"/>
      <c r="K2033" s="106"/>
      <c r="L2033" s="599"/>
    </row>
    <row r="2034" spans="1:12" s="90" customFormat="1" ht="15">
      <c r="A2034" s="112" t="s">
        <v>112</v>
      </c>
      <c r="B2034" s="100" t="s">
        <v>39</v>
      </c>
      <c r="C2034" s="106"/>
      <c r="D2034" s="106"/>
      <c r="E2034" s="106"/>
      <c r="F2034" s="599"/>
      <c r="G2034" s="112" t="s">
        <v>112</v>
      </c>
      <c r="H2034" s="100" t="s">
        <v>87</v>
      </c>
      <c r="I2034" s="106"/>
      <c r="J2034" s="106"/>
      <c r="K2034" s="106"/>
      <c r="L2034" s="599"/>
    </row>
    <row r="2035" spans="1:12" s="90" customFormat="1" ht="15">
      <c r="A2035" s="112" t="s">
        <v>113</v>
      </c>
      <c r="B2035" s="100" t="s">
        <v>201</v>
      </c>
      <c r="C2035" s="106"/>
      <c r="D2035" s="106"/>
      <c r="E2035" s="106"/>
      <c r="F2035" s="599"/>
      <c r="G2035" s="112" t="s">
        <v>113</v>
      </c>
      <c r="H2035" s="100" t="s">
        <v>90</v>
      </c>
      <c r="I2035" s="106"/>
      <c r="J2035" s="106"/>
      <c r="K2035" s="106"/>
      <c r="L2035" s="599"/>
    </row>
    <row r="2036" spans="1:12" s="90" customFormat="1" ht="15">
      <c r="A2036" s="112" t="s">
        <v>56</v>
      </c>
      <c r="B2036" s="100" t="s">
        <v>126</v>
      </c>
      <c r="C2036" s="101">
        <v>12295750</v>
      </c>
      <c r="D2036" s="101">
        <v>12295750</v>
      </c>
      <c r="E2036" s="101">
        <v>0</v>
      </c>
      <c r="F2036" s="102">
        <f>+E2036/D2036+IF(F2036=0/0,0%)</f>
        <v>0</v>
      </c>
      <c r="G2036" s="112" t="s">
        <v>56</v>
      </c>
      <c r="H2036" s="100" t="s">
        <v>132</v>
      </c>
      <c r="I2036" s="101"/>
      <c r="J2036" s="101"/>
      <c r="K2036" s="101"/>
      <c r="L2036" s="102"/>
    </row>
    <row r="2037" spans="1:12" s="90" customFormat="1" ht="15">
      <c r="A2037" s="99" t="s">
        <v>64</v>
      </c>
      <c r="B2037" s="116" t="s">
        <v>127</v>
      </c>
      <c r="C2037" s="101"/>
      <c r="D2037" s="101"/>
      <c r="E2037" s="101"/>
      <c r="F2037" s="102"/>
      <c r="G2037" s="99" t="s">
        <v>64</v>
      </c>
      <c r="H2037" s="116" t="s">
        <v>133</v>
      </c>
      <c r="I2037" s="101"/>
      <c r="J2037" s="101"/>
      <c r="K2037" s="101"/>
      <c r="L2037" s="102"/>
    </row>
    <row r="2038" spans="1:12" s="90" customFormat="1" ht="25.5" customHeight="1" thickBot="1">
      <c r="A2038" s="117"/>
      <c r="B2038" s="118" t="s">
        <v>148</v>
      </c>
      <c r="C2038" s="88">
        <f>+C2026+C2032+C2036+C2037</f>
        <v>12295750</v>
      </c>
      <c r="D2038" s="88">
        <f>+D2026+D2032+D2036+D2037</f>
        <v>12295750</v>
      </c>
      <c r="E2038" s="88">
        <f>+E2026+E2032+E2036+E2037</f>
        <v>0</v>
      </c>
      <c r="F2038" s="119">
        <f>+E2038/D2038</f>
        <v>0</v>
      </c>
      <c r="G2038" s="117"/>
      <c r="H2038" s="118" t="s">
        <v>149</v>
      </c>
      <c r="I2038" s="88">
        <f>I2026+I2032+I2036+I2037</f>
        <v>12295750</v>
      </c>
      <c r="J2038" s="88">
        <f>J2026+J2032+J2036+J2037</f>
        <v>12295750</v>
      </c>
      <c r="K2038" s="88">
        <f>+K2037+K2036+K2032+K2026</f>
        <v>0</v>
      </c>
      <c r="L2038" s="119">
        <f>+K2038/J2038</f>
        <v>0</v>
      </c>
    </row>
    <row r="2039" spans="1:12" s="90" customFormat="1" ht="15">
      <c r="A2039" s="124"/>
      <c r="B2039" s="124"/>
      <c r="C2039" s="93"/>
      <c r="D2039" s="93"/>
      <c r="E2039" s="93"/>
      <c r="F2039" s="93"/>
      <c r="G2039" s="124"/>
      <c r="H2039" s="124"/>
      <c r="I2039" s="93"/>
      <c r="J2039" s="93"/>
      <c r="K2039" s="93"/>
      <c r="L2039" s="93"/>
    </row>
    <row r="2040" spans="1:12" s="90" customFormat="1" ht="15.75" thickBot="1">
      <c r="A2040" s="746" t="s">
        <v>846</v>
      </c>
      <c r="B2040" s="753"/>
      <c r="C2040" s="644"/>
      <c r="D2040" s="93"/>
      <c r="E2040" s="93"/>
      <c r="F2040" s="93"/>
      <c r="G2040" s="124"/>
      <c r="H2040" s="124"/>
      <c r="I2040" s="93"/>
      <c r="J2040" s="595"/>
      <c r="K2040" s="93"/>
      <c r="L2040" s="595" t="s">
        <v>216</v>
      </c>
    </row>
    <row r="2041" spans="1:12" s="90" customFormat="1" ht="28.5">
      <c r="A2041" s="96"/>
      <c r="B2041" s="97" t="s">
        <v>104</v>
      </c>
      <c r="C2041" s="86" t="s">
        <v>227</v>
      </c>
      <c r="D2041" s="86" t="s">
        <v>844</v>
      </c>
      <c r="E2041" s="86" t="s">
        <v>303</v>
      </c>
      <c r="F2041" s="87" t="s">
        <v>304</v>
      </c>
      <c r="G2041" s="96">
        <v>177</v>
      </c>
      <c r="H2041" s="97" t="s">
        <v>105</v>
      </c>
      <c r="I2041" s="86" t="s">
        <v>227</v>
      </c>
      <c r="J2041" s="86" t="s">
        <v>844</v>
      </c>
      <c r="K2041" s="86" t="s">
        <v>303</v>
      </c>
      <c r="L2041" s="87" t="s">
        <v>304</v>
      </c>
    </row>
    <row r="2042" spans="1:12" s="90" customFormat="1" ht="15">
      <c r="A2042" s="99" t="s">
        <v>23</v>
      </c>
      <c r="B2042" s="100" t="s">
        <v>108</v>
      </c>
      <c r="C2042" s="101"/>
      <c r="D2042" s="101"/>
      <c r="E2042" s="101"/>
      <c r="F2042" s="102"/>
      <c r="G2042" s="99" t="s">
        <v>23</v>
      </c>
      <c r="H2042" s="100" t="s">
        <v>129</v>
      </c>
      <c r="I2042" s="101">
        <f>I2043+I2044+I2045+I2046+I2047</f>
        <v>3733600</v>
      </c>
      <c r="J2042" s="101">
        <f>J2043+J2044+J2045+J2046+J2047</f>
        <v>3733600</v>
      </c>
      <c r="K2042" s="101">
        <f>SUM(K2043:K2047)</f>
        <v>0</v>
      </c>
      <c r="L2042" s="102">
        <f>+K2042/J2042</f>
        <v>0</v>
      </c>
    </row>
    <row r="2043" spans="1:12" s="90" customFormat="1" ht="15">
      <c r="A2043" s="99" t="s">
        <v>111</v>
      </c>
      <c r="B2043" s="116" t="s">
        <v>209</v>
      </c>
      <c r="C2043" s="106"/>
      <c r="D2043" s="106"/>
      <c r="E2043" s="106"/>
      <c r="F2043" s="599"/>
      <c r="G2043" s="99" t="s">
        <v>111</v>
      </c>
      <c r="H2043" s="116" t="s">
        <v>80</v>
      </c>
      <c r="I2043" s="106">
        <v>3232554</v>
      </c>
      <c r="J2043" s="106">
        <v>3232554</v>
      </c>
      <c r="K2043" s="106">
        <v>0</v>
      </c>
      <c r="L2043" s="599">
        <f>+K2043/J2043</f>
        <v>0</v>
      </c>
    </row>
    <row r="2044" spans="1:12" s="90" customFormat="1" ht="15">
      <c r="A2044" s="99"/>
      <c r="B2044" s="116" t="s">
        <v>210</v>
      </c>
      <c r="C2044" s="106"/>
      <c r="D2044" s="106"/>
      <c r="E2044" s="106"/>
      <c r="F2044" s="599"/>
      <c r="G2044" s="99" t="s">
        <v>112</v>
      </c>
      <c r="H2044" s="116" t="s">
        <v>147</v>
      </c>
      <c r="I2044" s="106">
        <v>501046</v>
      </c>
      <c r="J2044" s="106">
        <v>501046</v>
      </c>
      <c r="K2044" s="106">
        <v>0</v>
      </c>
      <c r="L2044" s="599">
        <f>+K2044/J2044</f>
        <v>0</v>
      </c>
    </row>
    <row r="2045" spans="1:12" s="90" customFormat="1" ht="15">
      <c r="A2045" s="99" t="s">
        <v>112</v>
      </c>
      <c r="B2045" s="116" t="s">
        <v>9</v>
      </c>
      <c r="C2045" s="106"/>
      <c r="D2045" s="106"/>
      <c r="E2045" s="106"/>
      <c r="F2045" s="599"/>
      <c r="G2045" s="99" t="s">
        <v>113</v>
      </c>
      <c r="H2045" s="116" t="s">
        <v>83</v>
      </c>
      <c r="I2045" s="106"/>
      <c r="J2045" s="106"/>
      <c r="K2045" s="106"/>
      <c r="L2045" s="599"/>
    </row>
    <row r="2046" spans="1:12" s="90" customFormat="1" ht="15">
      <c r="A2046" s="99" t="s">
        <v>113</v>
      </c>
      <c r="B2046" s="116" t="s">
        <v>170</v>
      </c>
      <c r="C2046" s="106"/>
      <c r="D2046" s="106"/>
      <c r="E2046" s="106"/>
      <c r="F2046" s="599"/>
      <c r="G2046" s="99" t="s">
        <v>114</v>
      </c>
      <c r="H2046" s="116" t="s">
        <v>84</v>
      </c>
      <c r="I2046" s="106"/>
      <c r="J2046" s="106"/>
      <c r="K2046" s="106"/>
      <c r="L2046" s="599"/>
    </row>
    <row r="2047" spans="1:12" s="90" customFormat="1" ht="15">
      <c r="A2047" s="99" t="s">
        <v>114</v>
      </c>
      <c r="B2047" s="116" t="s">
        <v>181</v>
      </c>
      <c r="C2047" s="106"/>
      <c r="D2047" s="106"/>
      <c r="E2047" s="106"/>
      <c r="F2047" s="599"/>
      <c r="G2047" s="99" t="s">
        <v>115</v>
      </c>
      <c r="H2047" s="116" t="s">
        <v>211</v>
      </c>
      <c r="I2047" s="106"/>
      <c r="J2047" s="106"/>
      <c r="K2047" s="106"/>
      <c r="L2047" s="599"/>
    </row>
    <row r="2048" spans="1:12" s="90" customFormat="1" ht="15">
      <c r="A2048" s="112" t="s">
        <v>45</v>
      </c>
      <c r="B2048" s="100" t="s">
        <v>118</v>
      </c>
      <c r="C2048" s="101"/>
      <c r="D2048" s="101"/>
      <c r="E2048" s="101"/>
      <c r="F2048" s="102"/>
      <c r="G2048" s="112" t="s">
        <v>45</v>
      </c>
      <c r="H2048" s="100" t="s">
        <v>130</v>
      </c>
      <c r="I2048" s="101"/>
      <c r="J2048" s="101"/>
      <c r="K2048" s="101"/>
      <c r="L2048" s="102"/>
    </row>
    <row r="2049" spans="1:12" s="90" customFormat="1" ht="15">
      <c r="A2049" s="112" t="s">
        <v>111</v>
      </c>
      <c r="B2049" s="100" t="s">
        <v>106</v>
      </c>
      <c r="C2049" s="106"/>
      <c r="D2049" s="106"/>
      <c r="E2049" s="106"/>
      <c r="F2049" s="599"/>
      <c r="G2049" s="112" t="s">
        <v>111</v>
      </c>
      <c r="H2049" s="100" t="s">
        <v>131</v>
      </c>
      <c r="I2049" s="106"/>
      <c r="J2049" s="106"/>
      <c r="K2049" s="106"/>
      <c r="L2049" s="599"/>
    </row>
    <row r="2050" spans="1:12" s="90" customFormat="1" ht="15">
      <c r="A2050" s="112" t="s">
        <v>112</v>
      </c>
      <c r="B2050" s="100" t="s">
        <v>39</v>
      </c>
      <c r="C2050" s="106"/>
      <c r="D2050" s="106"/>
      <c r="E2050" s="106"/>
      <c r="F2050" s="599"/>
      <c r="G2050" s="112" t="s">
        <v>112</v>
      </c>
      <c r="H2050" s="100" t="s">
        <v>87</v>
      </c>
      <c r="I2050" s="106"/>
      <c r="J2050" s="106"/>
      <c r="K2050" s="106"/>
      <c r="L2050" s="599"/>
    </row>
    <row r="2051" spans="1:12" s="90" customFormat="1" ht="15">
      <c r="A2051" s="112" t="s">
        <v>113</v>
      </c>
      <c r="B2051" s="100" t="s">
        <v>201</v>
      </c>
      <c r="C2051" s="106"/>
      <c r="D2051" s="106"/>
      <c r="E2051" s="106"/>
      <c r="F2051" s="599"/>
      <c r="G2051" s="112" t="s">
        <v>113</v>
      </c>
      <c r="H2051" s="100" t="s">
        <v>90</v>
      </c>
      <c r="I2051" s="106"/>
      <c r="J2051" s="106"/>
      <c r="K2051" s="106"/>
      <c r="L2051" s="599"/>
    </row>
    <row r="2052" spans="1:12" s="90" customFormat="1" ht="15">
      <c r="A2052" s="112" t="s">
        <v>56</v>
      </c>
      <c r="B2052" s="100" t="s">
        <v>126</v>
      </c>
      <c r="C2052" s="101">
        <v>3733600</v>
      </c>
      <c r="D2052" s="101">
        <v>3733600</v>
      </c>
      <c r="E2052" s="101">
        <v>0</v>
      </c>
      <c r="F2052" s="102">
        <f>+E2052/D2052+IF(F2052=0/0,0%)</f>
        <v>0</v>
      </c>
      <c r="G2052" s="112" t="s">
        <v>56</v>
      </c>
      <c r="H2052" s="100" t="s">
        <v>132</v>
      </c>
      <c r="I2052" s="101"/>
      <c r="J2052" s="101"/>
      <c r="K2052" s="101"/>
      <c r="L2052" s="102"/>
    </row>
    <row r="2053" spans="1:12" s="90" customFormat="1" ht="15">
      <c r="A2053" s="99" t="s">
        <v>64</v>
      </c>
      <c r="B2053" s="116" t="s">
        <v>127</v>
      </c>
      <c r="C2053" s="101"/>
      <c r="D2053" s="101"/>
      <c r="E2053" s="101"/>
      <c r="F2053" s="102"/>
      <c r="G2053" s="99" t="s">
        <v>64</v>
      </c>
      <c r="H2053" s="116" t="s">
        <v>133</v>
      </c>
      <c r="I2053" s="101"/>
      <c r="J2053" s="101"/>
      <c r="K2053" s="101"/>
      <c r="L2053" s="102"/>
    </row>
    <row r="2054" spans="1:12" s="90" customFormat="1" ht="15.75" thickBot="1">
      <c r="A2054" s="117"/>
      <c r="B2054" s="118" t="s">
        <v>148</v>
      </c>
      <c r="C2054" s="88">
        <f>+C2042+C2048+C2052+C2053</f>
        <v>3733600</v>
      </c>
      <c r="D2054" s="88">
        <f>+D2042+D2048+D2052+D2053</f>
        <v>3733600</v>
      </c>
      <c r="E2054" s="88">
        <f>+E2042+E2048+E2052+E2053</f>
        <v>0</v>
      </c>
      <c r="F2054" s="119">
        <f>+E2054/D2054</f>
        <v>0</v>
      </c>
      <c r="G2054" s="117"/>
      <c r="H2054" s="118" t="s">
        <v>149</v>
      </c>
      <c r="I2054" s="88">
        <f>I2042+I2048+I2052+I2053</f>
        <v>3733600</v>
      </c>
      <c r="J2054" s="88">
        <f>J2042+J2048+J2052+J2053</f>
        <v>3733600</v>
      </c>
      <c r="K2054" s="88">
        <f>+K2053+K2052+K2048+K2042</f>
        <v>0</v>
      </c>
      <c r="L2054" s="119">
        <f>+K2054/J2054</f>
        <v>0</v>
      </c>
    </row>
    <row r="2055" spans="1:12" s="90" customFormat="1" ht="15">
      <c r="A2055" s="124"/>
      <c r="B2055" s="124"/>
      <c r="C2055" s="93"/>
      <c r="D2055" s="93"/>
      <c r="E2055" s="93"/>
      <c r="F2055" s="93"/>
      <c r="G2055" s="124"/>
      <c r="H2055" s="124"/>
      <c r="I2055" s="93"/>
      <c r="J2055" s="93"/>
      <c r="K2055" s="93"/>
      <c r="L2055" s="93"/>
    </row>
    <row r="2056" spans="1:12" s="90" customFormat="1" ht="15.75" thickBot="1">
      <c r="A2056" s="746" t="s">
        <v>861</v>
      </c>
      <c r="B2056" s="753"/>
      <c r="C2056" s="644"/>
      <c r="D2056" s="93"/>
      <c r="E2056" s="93"/>
      <c r="F2056" s="93"/>
      <c r="G2056" s="124"/>
      <c r="H2056" s="124"/>
      <c r="I2056" s="93"/>
      <c r="K2056" s="93"/>
      <c r="L2056" s="595" t="s">
        <v>216</v>
      </c>
    </row>
    <row r="2057" spans="1:12" s="90" customFormat="1" ht="28.5">
      <c r="A2057" s="96"/>
      <c r="B2057" s="97" t="s">
        <v>104</v>
      </c>
      <c r="C2057" s="86" t="s">
        <v>227</v>
      </c>
      <c r="D2057" s="86" t="s">
        <v>844</v>
      </c>
      <c r="E2057" s="86" t="s">
        <v>303</v>
      </c>
      <c r="F2057" s="87" t="s">
        <v>304</v>
      </c>
      <c r="G2057" s="96">
        <v>181</v>
      </c>
      <c r="H2057" s="97" t="s">
        <v>105</v>
      </c>
      <c r="I2057" s="86" t="s">
        <v>227</v>
      </c>
      <c r="J2057" s="86" t="s">
        <v>844</v>
      </c>
      <c r="K2057" s="86" t="s">
        <v>303</v>
      </c>
      <c r="L2057" s="87" t="s">
        <v>304</v>
      </c>
    </row>
    <row r="2058" spans="1:12" s="90" customFormat="1" ht="15">
      <c r="A2058" s="99" t="s">
        <v>23</v>
      </c>
      <c r="B2058" s="100" t="s">
        <v>108</v>
      </c>
      <c r="C2058" s="101">
        <f>+C2059+C2061+C2062+C2063</f>
        <v>0</v>
      </c>
      <c r="D2058" s="101">
        <f>+D2059+D2061+D2062+D2063</f>
        <v>2500000</v>
      </c>
      <c r="E2058" s="101">
        <f>+E2059+E2061+E2062+E2063</f>
        <v>0</v>
      </c>
      <c r="F2058" s="102">
        <f>+E2058/D2058</f>
        <v>0</v>
      </c>
      <c r="G2058" s="99" t="s">
        <v>23</v>
      </c>
      <c r="H2058" s="100" t="s">
        <v>129</v>
      </c>
      <c r="I2058" s="101">
        <f>I2059+I2060+I2061+I2062+I2063</f>
        <v>0</v>
      </c>
      <c r="J2058" s="101">
        <f>J2059+J2060+J2061+J2062+J2063</f>
        <v>2500000</v>
      </c>
      <c r="K2058" s="101">
        <f>SUM(K2059:K2063)</f>
        <v>0</v>
      </c>
      <c r="L2058" s="102">
        <f>+K2058/J2058</f>
        <v>0</v>
      </c>
    </row>
    <row r="2059" spans="1:12" s="90" customFormat="1" ht="15">
      <c r="A2059" s="99" t="s">
        <v>111</v>
      </c>
      <c r="B2059" s="116" t="s">
        <v>209</v>
      </c>
      <c r="C2059" s="106">
        <v>0</v>
      </c>
      <c r="D2059" s="106">
        <f>D2060</f>
        <v>2500000</v>
      </c>
      <c r="E2059" s="106">
        <f>E2060</f>
        <v>0</v>
      </c>
      <c r="F2059" s="599">
        <f>+E2059/D2059</f>
        <v>0</v>
      </c>
      <c r="G2059" s="99" t="s">
        <v>111</v>
      </c>
      <c r="H2059" s="116" t="s">
        <v>80</v>
      </c>
      <c r="I2059" s="106">
        <v>0</v>
      </c>
      <c r="J2059" s="106">
        <v>2092050</v>
      </c>
      <c r="K2059" s="106">
        <v>0</v>
      </c>
      <c r="L2059" s="599">
        <f>+K2059/J2059</f>
        <v>0</v>
      </c>
    </row>
    <row r="2060" spans="1:12" s="90" customFormat="1" ht="15">
      <c r="A2060" s="99"/>
      <c r="B2060" s="116" t="s">
        <v>210</v>
      </c>
      <c r="C2060" s="106">
        <v>0</v>
      </c>
      <c r="D2060" s="106">
        <v>2500000</v>
      </c>
      <c r="E2060" s="106">
        <v>0</v>
      </c>
      <c r="F2060" s="599">
        <f>+E2060/D2060</f>
        <v>0</v>
      </c>
      <c r="G2060" s="99" t="s">
        <v>112</v>
      </c>
      <c r="H2060" s="116" t="s">
        <v>147</v>
      </c>
      <c r="I2060" s="106">
        <v>0</v>
      </c>
      <c r="J2060" s="106">
        <v>407950</v>
      </c>
      <c r="K2060" s="106">
        <v>0</v>
      </c>
      <c r="L2060" s="599">
        <f>+K2060/J2060</f>
        <v>0</v>
      </c>
    </row>
    <row r="2061" spans="1:12" s="90" customFormat="1" ht="15">
      <c r="A2061" s="99" t="s">
        <v>112</v>
      </c>
      <c r="B2061" s="116" t="s">
        <v>9</v>
      </c>
      <c r="C2061" s="106"/>
      <c r="D2061" s="106"/>
      <c r="E2061" s="106"/>
      <c r="F2061" s="599"/>
      <c r="G2061" s="99" t="s">
        <v>113</v>
      </c>
      <c r="H2061" s="116" t="s">
        <v>83</v>
      </c>
      <c r="I2061" s="106"/>
      <c r="J2061" s="106"/>
      <c r="K2061" s="106"/>
      <c r="L2061" s="599"/>
    </row>
    <row r="2062" spans="1:12" s="90" customFormat="1" ht="15">
      <c r="A2062" s="99" t="s">
        <v>113</v>
      </c>
      <c r="B2062" s="116" t="s">
        <v>170</v>
      </c>
      <c r="C2062" s="106"/>
      <c r="D2062" s="106"/>
      <c r="E2062" s="106"/>
      <c r="F2062" s="599"/>
      <c r="G2062" s="99" t="s">
        <v>114</v>
      </c>
      <c r="H2062" s="116" t="s">
        <v>84</v>
      </c>
      <c r="I2062" s="106"/>
      <c r="J2062" s="106"/>
      <c r="K2062" s="106"/>
      <c r="L2062" s="599"/>
    </row>
    <row r="2063" spans="1:12" s="90" customFormat="1" ht="15">
      <c r="A2063" s="99" t="s">
        <v>114</v>
      </c>
      <c r="B2063" s="116" t="s">
        <v>181</v>
      </c>
      <c r="C2063" s="106"/>
      <c r="D2063" s="106"/>
      <c r="E2063" s="106"/>
      <c r="F2063" s="599"/>
      <c r="G2063" s="99" t="s">
        <v>115</v>
      </c>
      <c r="H2063" s="116" t="s">
        <v>211</v>
      </c>
      <c r="I2063" s="106"/>
      <c r="J2063" s="106"/>
      <c r="K2063" s="106"/>
      <c r="L2063" s="599"/>
    </row>
    <row r="2064" spans="1:12" s="90" customFormat="1" ht="15">
      <c r="A2064" s="112" t="s">
        <v>45</v>
      </c>
      <c r="B2064" s="100" t="s">
        <v>118</v>
      </c>
      <c r="C2064" s="101"/>
      <c r="D2064" s="101"/>
      <c r="E2064" s="101"/>
      <c r="F2064" s="102"/>
      <c r="G2064" s="112" t="s">
        <v>45</v>
      </c>
      <c r="H2064" s="100" t="s">
        <v>130</v>
      </c>
      <c r="I2064" s="101"/>
      <c r="J2064" s="101"/>
      <c r="K2064" s="101"/>
      <c r="L2064" s="102"/>
    </row>
    <row r="2065" spans="1:12" s="90" customFormat="1" ht="15">
      <c r="A2065" s="112" t="s">
        <v>111</v>
      </c>
      <c r="B2065" s="100" t="s">
        <v>106</v>
      </c>
      <c r="C2065" s="106"/>
      <c r="D2065" s="106"/>
      <c r="E2065" s="106"/>
      <c r="F2065" s="599"/>
      <c r="G2065" s="112" t="s">
        <v>111</v>
      </c>
      <c r="H2065" s="100" t="s">
        <v>131</v>
      </c>
      <c r="I2065" s="106"/>
      <c r="J2065" s="106"/>
      <c r="K2065" s="106"/>
      <c r="L2065" s="599"/>
    </row>
    <row r="2066" spans="1:12" s="90" customFormat="1" ht="15">
      <c r="A2066" s="112" t="s">
        <v>112</v>
      </c>
      <c r="B2066" s="100" t="s">
        <v>39</v>
      </c>
      <c r="C2066" s="106"/>
      <c r="D2066" s="106"/>
      <c r="E2066" s="106"/>
      <c r="F2066" s="599"/>
      <c r="G2066" s="112" t="s">
        <v>112</v>
      </c>
      <c r="H2066" s="100" t="s">
        <v>87</v>
      </c>
      <c r="I2066" s="106"/>
      <c r="J2066" s="106"/>
      <c r="K2066" s="106"/>
      <c r="L2066" s="599"/>
    </row>
    <row r="2067" spans="1:12" s="90" customFormat="1" ht="15">
      <c r="A2067" s="112" t="s">
        <v>113</v>
      </c>
      <c r="B2067" s="100" t="s">
        <v>201</v>
      </c>
      <c r="C2067" s="106"/>
      <c r="D2067" s="106"/>
      <c r="E2067" s="106"/>
      <c r="F2067" s="599"/>
      <c r="G2067" s="112" t="s">
        <v>113</v>
      </c>
      <c r="H2067" s="100" t="s">
        <v>90</v>
      </c>
      <c r="I2067" s="106"/>
      <c r="J2067" s="106"/>
      <c r="K2067" s="106"/>
      <c r="L2067" s="599"/>
    </row>
    <row r="2068" spans="1:12" s="90" customFormat="1" ht="15">
      <c r="A2068" s="112" t="s">
        <v>56</v>
      </c>
      <c r="B2068" s="100" t="s">
        <v>126</v>
      </c>
      <c r="C2068" s="101"/>
      <c r="D2068" s="101"/>
      <c r="E2068" s="101"/>
      <c r="F2068" s="102"/>
      <c r="G2068" s="112" t="s">
        <v>56</v>
      </c>
      <c r="H2068" s="100" t="s">
        <v>132</v>
      </c>
      <c r="I2068" s="101"/>
      <c r="J2068" s="101"/>
      <c r="K2068" s="101"/>
      <c r="L2068" s="102"/>
    </row>
    <row r="2069" spans="1:12" s="90" customFormat="1" ht="15">
      <c r="A2069" s="99" t="s">
        <v>64</v>
      </c>
      <c r="B2069" s="116" t="s">
        <v>127</v>
      </c>
      <c r="C2069" s="101"/>
      <c r="D2069" s="101"/>
      <c r="E2069" s="101"/>
      <c r="F2069" s="102"/>
      <c r="G2069" s="99" t="s">
        <v>64</v>
      </c>
      <c r="H2069" s="116" t="s">
        <v>133</v>
      </c>
      <c r="I2069" s="101"/>
      <c r="J2069" s="101"/>
      <c r="K2069" s="101"/>
      <c r="L2069" s="102"/>
    </row>
    <row r="2070" spans="1:12" s="90" customFormat="1" ht="15.75" thickBot="1">
      <c r="A2070" s="117"/>
      <c r="B2070" s="118" t="s">
        <v>148</v>
      </c>
      <c r="C2070" s="88">
        <f>+C2058+C2064+C2068+C2069</f>
        <v>0</v>
      </c>
      <c r="D2070" s="88">
        <f>D2058+D2064+D2068+D2069</f>
        <v>2500000</v>
      </c>
      <c r="E2070" s="88">
        <f>+E2058+E2064+E2068+E2069</f>
        <v>0</v>
      </c>
      <c r="F2070" s="119">
        <f>+E2070/D2070</f>
        <v>0</v>
      </c>
      <c r="G2070" s="117"/>
      <c r="H2070" s="118" t="s">
        <v>149</v>
      </c>
      <c r="I2070" s="88">
        <f>I2058+I2064+I2068+I2069</f>
        <v>0</v>
      </c>
      <c r="J2070" s="88">
        <f>J2058+J2064+J2068+J2069</f>
        <v>2500000</v>
      </c>
      <c r="K2070" s="88">
        <f>+K2069+K2068+K2064+K2058</f>
        <v>0</v>
      </c>
      <c r="L2070" s="119">
        <f>+K2070/J2070</f>
        <v>0</v>
      </c>
    </row>
  </sheetData>
  <sheetProtection/>
  <mergeCells count="7">
    <mergeCell ref="A2024:B2024"/>
    <mergeCell ref="A2040:B2040"/>
    <mergeCell ref="A2056:B2056"/>
    <mergeCell ref="A35:B35"/>
    <mergeCell ref="A2:L2"/>
    <mergeCell ref="H1:L1"/>
    <mergeCell ref="A67:B67"/>
  </mergeCells>
  <printOptions horizontalCentered="1"/>
  <pageMargins left="0.5118110236220472" right="0.5118110236220472" top="0.35433070866141736" bottom="0.15748031496062992" header="0.31496062992125984" footer="0.31496062992125984"/>
  <pageSetup fitToHeight="30" horizontalDpi="600" verticalDpi="600" orientation="landscape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70" zoomScaleNormal="70" zoomScaleSheetLayoutView="70" zoomScalePageLayoutView="0" workbookViewId="0" topLeftCell="A1">
      <selection activeCell="A2" sqref="A2:J2"/>
    </sheetView>
  </sheetViews>
  <sheetFormatPr defaultColWidth="9.140625" defaultRowHeight="15"/>
  <cols>
    <col min="1" max="1" width="6.7109375" style="52" customWidth="1"/>
    <col min="2" max="2" width="53.421875" style="52" bestFit="1" customWidth="1"/>
    <col min="3" max="3" width="14.57421875" style="53" bestFit="1" customWidth="1"/>
    <col min="4" max="4" width="13.7109375" style="53" bestFit="1" customWidth="1"/>
    <col min="5" max="5" width="13.7109375" style="53" customWidth="1"/>
    <col min="6" max="6" width="13.7109375" style="81" customWidth="1"/>
    <col min="7" max="7" width="6.7109375" style="52" customWidth="1"/>
    <col min="8" max="8" width="62.28125" style="52" bestFit="1" customWidth="1"/>
    <col min="9" max="9" width="14.57421875" style="52" bestFit="1" customWidth="1"/>
    <col min="10" max="10" width="13.7109375" style="53" bestFit="1" customWidth="1"/>
    <col min="11" max="11" width="13.7109375" style="53" customWidth="1"/>
    <col min="12" max="12" width="13.7109375" style="81" customWidth="1"/>
    <col min="13" max="14" width="12.00390625" style="52" bestFit="1" customWidth="1"/>
    <col min="15" max="16384" width="9.140625" style="52" customWidth="1"/>
  </cols>
  <sheetData>
    <row r="1" spans="1:12" ht="15">
      <c r="A1" s="90"/>
      <c r="B1" s="192"/>
      <c r="C1" s="192"/>
      <c r="D1" s="192"/>
      <c r="E1" s="192"/>
      <c r="F1" s="193"/>
      <c r="G1" s="192"/>
      <c r="H1" s="757" t="s">
        <v>945</v>
      </c>
      <c r="I1" s="757"/>
      <c r="J1" s="757"/>
      <c r="K1" s="192"/>
      <c r="L1" s="193"/>
    </row>
    <row r="2" spans="1:12" ht="27.75" customHeight="1">
      <c r="A2" s="758" t="s">
        <v>899</v>
      </c>
      <c r="B2" s="758"/>
      <c r="C2" s="758"/>
      <c r="D2" s="758"/>
      <c r="E2" s="758"/>
      <c r="F2" s="758"/>
      <c r="G2" s="758"/>
      <c r="H2" s="758"/>
      <c r="I2" s="758"/>
      <c r="J2" s="758"/>
      <c r="K2" s="194"/>
      <c r="L2" s="195"/>
    </row>
    <row r="3" spans="1:12" ht="15">
      <c r="A3" s="194"/>
      <c r="B3" s="194"/>
      <c r="C3" s="196"/>
      <c r="D3" s="196"/>
      <c r="E3" s="196"/>
      <c r="F3" s="197"/>
      <c r="G3" s="194"/>
      <c r="H3" s="90"/>
      <c r="I3" s="90"/>
      <c r="J3" s="95"/>
      <c r="K3" s="196"/>
      <c r="L3" s="197"/>
    </row>
    <row r="4" spans="1:12" ht="16.5" thickBot="1">
      <c r="A4" s="759" t="s">
        <v>219</v>
      </c>
      <c r="B4" s="760"/>
      <c r="C4" s="93"/>
      <c r="D4" s="93"/>
      <c r="E4" s="93"/>
      <c r="F4" s="145"/>
      <c r="G4" s="90"/>
      <c r="H4" s="90"/>
      <c r="I4" s="90"/>
      <c r="J4" s="95"/>
      <c r="K4" s="93"/>
      <c r="L4" s="649" t="s">
        <v>216</v>
      </c>
    </row>
    <row r="5" spans="1:13" s="55" customFormat="1" ht="45" customHeight="1">
      <c r="A5" s="170"/>
      <c r="B5" s="171" t="s">
        <v>104</v>
      </c>
      <c r="C5" s="86" t="s">
        <v>862</v>
      </c>
      <c r="D5" s="86" t="s">
        <v>786</v>
      </c>
      <c r="E5" s="86" t="s">
        <v>303</v>
      </c>
      <c r="F5" s="147" t="s">
        <v>304</v>
      </c>
      <c r="G5" s="170"/>
      <c r="H5" s="171" t="s">
        <v>105</v>
      </c>
      <c r="I5" s="86" t="s">
        <v>862</v>
      </c>
      <c r="J5" s="86" t="s">
        <v>786</v>
      </c>
      <c r="K5" s="86" t="s">
        <v>303</v>
      </c>
      <c r="L5" s="147" t="s">
        <v>304</v>
      </c>
      <c r="M5" s="59"/>
    </row>
    <row r="6" spans="1:14" ht="21" customHeight="1">
      <c r="A6" s="148" t="s">
        <v>23</v>
      </c>
      <c r="B6" s="149" t="s">
        <v>108</v>
      </c>
      <c r="C6" s="150">
        <f aca="true" t="shared" si="0" ref="C6:F8">+C22+C39</f>
        <v>814700</v>
      </c>
      <c r="D6" s="150">
        <f t="shared" si="0"/>
        <v>814700</v>
      </c>
      <c r="E6" s="150">
        <f t="shared" si="0"/>
        <v>814700</v>
      </c>
      <c r="F6" s="198">
        <f t="shared" si="0"/>
        <v>1</v>
      </c>
      <c r="G6" s="148" t="s">
        <v>23</v>
      </c>
      <c r="H6" s="149" t="s">
        <v>129</v>
      </c>
      <c r="I6" s="150">
        <f aca="true" t="shared" si="1" ref="I6:L8">+I22+I39</f>
        <v>3110247</v>
      </c>
      <c r="J6" s="150">
        <f t="shared" si="1"/>
        <v>3110247</v>
      </c>
      <c r="K6" s="150">
        <f t="shared" si="1"/>
        <v>3017847</v>
      </c>
      <c r="L6" s="198">
        <f t="shared" si="1"/>
        <v>1.8865840186571745</v>
      </c>
      <c r="M6" s="63"/>
      <c r="N6" s="54"/>
    </row>
    <row r="7" spans="1:14" ht="21" customHeight="1">
      <c r="A7" s="148" t="s">
        <v>111</v>
      </c>
      <c r="B7" s="172" t="s">
        <v>209</v>
      </c>
      <c r="C7" s="150">
        <f t="shared" si="0"/>
        <v>814700</v>
      </c>
      <c r="D7" s="150">
        <f t="shared" si="0"/>
        <v>814700</v>
      </c>
      <c r="E7" s="150">
        <f t="shared" si="0"/>
        <v>814700</v>
      </c>
      <c r="F7" s="198">
        <f t="shared" si="0"/>
        <v>1</v>
      </c>
      <c r="G7" s="148" t="s">
        <v>111</v>
      </c>
      <c r="H7" s="172" t="s">
        <v>80</v>
      </c>
      <c r="I7" s="150">
        <f t="shared" si="1"/>
        <v>2664827</v>
      </c>
      <c r="J7" s="150">
        <f t="shared" si="1"/>
        <v>2664827</v>
      </c>
      <c r="K7" s="150">
        <f t="shared" si="1"/>
        <v>2584827</v>
      </c>
      <c r="L7" s="198">
        <f t="shared" si="1"/>
        <v>1.8857142857142857</v>
      </c>
      <c r="M7" s="63"/>
      <c r="N7" s="54"/>
    </row>
    <row r="8" spans="1:14" ht="21" customHeight="1">
      <c r="A8" s="148"/>
      <c r="B8" s="173" t="s">
        <v>210</v>
      </c>
      <c r="C8" s="150">
        <f t="shared" si="0"/>
        <v>814700</v>
      </c>
      <c r="D8" s="150">
        <f t="shared" si="0"/>
        <v>814700</v>
      </c>
      <c r="E8" s="150">
        <f t="shared" si="0"/>
        <v>814700</v>
      </c>
      <c r="F8" s="198">
        <f t="shared" si="0"/>
        <v>1</v>
      </c>
      <c r="G8" s="148" t="s">
        <v>112</v>
      </c>
      <c r="H8" s="173" t="s">
        <v>147</v>
      </c>
      <c r="I8" s="150">
        <f t="shared" si="1"/>
        <v>445420</v>
      </c>
      <c r="J8" s="150">
        <f t="shared" si="1"/>
        <v>445420</v>
      </c>
      <c r="K8" s="150">
        <f t="shared" si="1"/>
        <v>433020</v>
      </c>
      <c r="L8" s="198">
        <f t="shared" si="1"/>
        <v>1.8918918918918919</v>
      </c>
      <c r="M8" s="63"/>
      <c r="N8" s="54"/>
    </row>
    <row r="9" spans="1:14" ht="21" customHeight="1">
      <c r="A9" s="148" t="s">
        <v>112</v>
      </c>
      <c r="B9" s="174" t="s">
        <v>9</v>
      </c>
      <c r="C9" s="150"/>
      <c r="D9" s="150"/>
      <c r="E9" s="150"/>
      <c r="F9" s="198"/>
      <c r="G9" s="148" t="s">
        <v>113</v>
      </c>
      <c r="H9" s="174" t="s">
        <v>83</v>
      </c>
      <c r="I9" s="150"/>
      <c r="J9" s="150"/>
      <c r="K9" s="150"/>
      <c r="L9" s="198"/>
      <c r="M9" s="63"/>
      <c r="N9" s="54"/>
    </row>
    <row r="10" spans="1:14" ht="21" customHeight="1">
      <c r="A10" s="148" t="s">
        <v>113</v>
      </c>
      <c r="B10" s="149" t="s">
        <v>170</v>
      </c>
      <c r="C10" s="150"/>
      <c r="D10" s="150"/>
      <c r="E10" s="150"/>
      <c r="F10" s="198"/>
      <c r="G10" s="148" t="s">
        <v>114</v>
      </c>
      <c r="H10" s="149" t="s">
        <v>84</v>
      </c>
      <c r="I10" s="150"/>
      <c r="J10" s="150"/>
      <c r="K10" s="150"/>
      <c r="L10" s="198"/>
      <c r="M10" s="63"/>
      <c r="N10" s="54"/>
    </row>
    <row r="11" spans="1:14" ht="21" customHeight="1">
      <c r="A11" s="148" t="s">
        <v>114</v>
      </c>
      <c r="B11" s="174" t="s">
        <v>181</v>
      </c>
      <c r="C11" s="150"/>
      <c r="D11" s="150"/>
      <c r="E11" s="150"/>
      <c r="F11" s="198"/>
      <c r="G11" s="148" t="s">
        <v>115</v>
      </c>
      <c r="H11" s="174" t="s">
        <v>211</v>
      </c>
      <c r="I11" s="150"/>
      <c r="J11" s="150"/>
      <c r="K11" s="150"/>
      <c r="L11" s="198"/>
      <c r="M11" s="63"/>
      <c r="N11" s="54"/>
    </row>
    <row r="12" spans="1:14" ht="21" customHeight="1">
      <c r="A12" s="161" t="s">
        <v>45</v>
      </c>
      <c r="B12" s="149" t="s">
        <v>118</v>
      </c>
      <c r="C12" s="150"/>
      <c r="D12" s="150"/>
      <c r="E12" s="150"/>
      <c r="F12" s="198"/>
      <c r="G12" s="161" t="s">
        <v>45</v>
      </c>
      <c r="H12" s="149" t="s">
        <v>130</v>
      </c>
      <c r="I12" s="150"/>
      <c r="J12" s="150"/>
      <c r="K12" s="150"/>
      <c r="L12" s="198"/>
      <c r="M12" s="63"/>
      <c r="N12" s="54"/>
    </row>
    <row r="13" spans="1:14" ht="21" customHeight="1">
      <c r="A13" s="161" t="s">
        <v>111</v>
      </c>
      <c r="B13" s="174" t="s">
        <v>106</v>
      </c>
      <c r="C13" s="150"/>
      <c r="D13" s="150"/>
      <c r="E13" s="150"/>
      <c r="F13" s="198"/>
      <c r="G13" s="161" t="s">
        <v>111</v>
      </c>
      <c r="H13" s="174" t="s">
        <v>131</v>
      </c>
      <c r="I13" s="150"/>
      <c r="J13" s="150"/>
      <c r="K13" s="150"/>
      <c r="L13" s="198"/>
      <c r="M13" s="63"/>
      <c r="N13" s="54"/>
    </row>
    <row r="14" spans="1:14" ht="21" customHeight="1">
      <c r="A14" s="161" t="s">
        <v>112</v>
      </c>
      <c r="B14" s="165" t="s">
        <v>39</v>
      </c>
      <c r="C14" s="150"/>
      <c r="D14" s="150"/>
      <c r="E14" s="150"/>
      <c r="F14" s="198"/>
      <c r="G14" s="161" t="s">
        <v>112</v>
      </c>
      <c r="H14" s="165" t="s">
        <v>87</v>
      </c>
      <c r="I14" s="150"/>
      <c r="J14" s="150"/>
      <c r="K14" s="150"/>
      <c r="L14" s="198"/>
      <c r="M14" s="63"/>
      <c r="N14" s="54"/>
    </row>
    <row r="15" spans="1:14" ht="21" customHeight="1">
      <c r="A15" s="161" t="s">
        <v>113</v>
      </c>
      <c r="B15" s="174" t="s">
        <v>201</v>
      </c>
      <c r="C15" s="150"/>
      <c r="D15" s="150"/>
      <c r="E15" s="150"/>
      <c r="F15" s="198"/>
      <c r="G15" s="161" t="s">
        <v>113</v>
      </c>
      <c r="H15" s="174" t="s">
        <v>90</v>
      </c>
      <c r="I15" s="150"/>
      <c r="J15" s="150"/>
      <c r="K15" s="150"/>
      <c r="L15" s="198"/>
      <c r="M15" s="63"/>
      <c r="N15" s="54"/>
    </row>
    <row r="16" spans="1:14" ht="21" customHeight="1">
      <c r="A16" s="161" t="s">
        <v>56</v>
      </c>
      <c r="B16" s="149" t="s">
        <v>126</v>
      </c>
      <c r="C16" s="150">
        <f>+C32+C49</f>
        <v>2295547</v>
      </c>
      <c r="D16" s="150">
        <f>+D32+D49</f>
        <v>2295547</v>
      </c>
      <c r="E16" s="150">
        <f>+E32+E49</f>
        <v>0</v>
      </c>
      <c r="F16" s="198">
        <f>+F32+F49</f>
        <v>0</v>
      </c>
      <c r="G16" s="161" t="s">
        <v>56</v>
      </c>
      <c r="H16" s="149" t="s">
        <v>132</v>
      </c>
      <c r="I16" s="150"/>
      <c r="J16" s="150"/>
      <c r="K16" s="150"/>
      <c r="L16" s="198"/>
      <c r="M16" s="63"/>
      <c r="N16" s="54"/>
    </row>
    <row r="17" spans="1:14" ht="21" customHeight="1">
      <c r="A17" s="148" t="s">
        <v>64</v>
      </c>
      <c r="B17" s="165" t="s">
        <v>127</v>
      </c>
      <c r="C17" s="150"/>
      <c r="D17" s="150"/>
      <c r="E17" s="150"/>
      <c r="F17" s="198"/>
      <c r="G17" s="148" t="s">
        <v>64</v>
      </c>
      <c r="H17" s="165" t="s">
        <v>133</v>
      </c>
      <c r="I17" s="150"/>
      <c r="J17" s="150"/>
      <c r="K17" s="150"/>
      <c r="L17" s="198"/>
      <c r="M17" s="63"/>
      <c r="N17" s="54"/>
    </row>
    <row r="18" spans="1:14" ht="21" customHeight="1" thickBot="1">
      <c r="A18" s="166"/>
      <c r="B18" s="167" t="s">
        <v>148</v>
      </c>
      <c r="C18" s="168">
        <f>+C34+C51</f>
        <v>3110247</v>
      </c>
      <c r="D18" s="168">
        <f>+D34+D51</f>
        <v>3110247</v>
      </c>
      <c r="E18" s="168">
        <f>+E34+E51</f>
        <v>814700</v>
      </c>
      <c r="F18" s="169">
        <f>+F34+F51</f>
        <v>1</v>
      </c>
      <c r="G18" s="166"/>
      <c r="H18" s="167" t="s">
        <v>149</v>
      </c>
      <c r="I18" s="168">
        <f>+I34+I51</f>
        <v>3110247</v>
      </c>
      <c r="J18" s="168">
        <f>+J34+J51</f>
        <v>3110247</v>
      </c>
      <c r="K18" s="168">
        <f>+K34+K51</f>
        <v>3017847</v>
      </c>
      <c r="L18" s="199">
        <f>+L34+L51</f>
        <v>1.8865840186571745</v>
      </c>
      <c r="M18" s="63"/>
      <c r="N18" s="54"/>
    </row>
    <row r="19" spans="1:13" ht="19.5" customHeight="1">
      <c r="A19" s="761"/>
      <c r="B19" s="762"/>
      <c r="C19" s="93"/>
      <c r="D19" s="93"/>
      <c r="E19" s="90"/>
      <c r="F19" s="90"/>
      <c r="G19" s="95"/>
      <c r="H19" s="95"/>
      <c r="I19" s="90"/>
      <c r="J19" s="93"/>
      <c r="K19" s="93"/>
      <c r="L19" s="145"/>
      <c r="M19" s="51"/>
    </row>
    <row r="20" spans="1:17" ht="16.5" thickBot="1">
      <c r="A20" s="146" t="s">
        <v>232</v>
      </c>
      <c r="B20" s="91"/>
      <c r="C20" s="93"/>
      <c r="D20" s="93"/>
      <c r="E20" s="90"/>
      <c r="F20" s="90"/>
      <c r="G20" s="95"/>
      <c r="H20" s="95"/>
      <c r="I20" s="90"/>
      <c r="J20" s="609"/>
      <c r="K20" s="93"/>
      <c r="L20" s="649" t="s">
        <v>216</v>
      </c>
      <c r="N20" s="54"/>
      <c r="P20" s="56"/>
      <c r="Q20" s="54"/>
    </row>
    <row r="21" spans="1:17" s="55" customFormat="1" ht="37.5" customHeight="1">
      <c r="A21" s="96"/>
      <c r="B21" s="97" t="s">
        <v>104</v>
      </c>
      <c r="C21" s="86" t="s">
        <v>862</v>
      </c>
      <c r="D21" s="86" t="s">
        <v>863</v>
      </c>
      <c r="E21" s="86" t="s">
        <v>303</v>
      </c>
      <c r="F21" s="147" t="s">
        <v>304</v>
      </c>
      <c r="G21" s="98"/>
      <c r="H21" s="97" t="s">
        <v>105</v>
      </c>
      <c r="I21" s="606" t="s">
        <v>862</v>
      </c>
      <c r="J21" s="607" t="s">
        <v>863</v>
      </c>
      <c r="K21" s="605" t="s">
        <v>303</v>
      </c>
      <c r="L21" s="147" t="s">
        <v>304</v>
      </c>
      <c r="M21" s="59"/>
      <c r="N21" s="58"/>
      <c r="P21" s="62"/>
      <c r="Q21" s="54"/>
    </row>
    <row r="22" spans="1:17" ht="15" customHeight="1">
      <c r="A22" s="148" t="s">
        <v>23</v>
      </c>
      <c r="B22" s="149" t="s">
        <v>108</v>
      </c>
      <c r="C22" s="150">
        <f>+C23+C25+C26+C27</f>
        <v>814700</v>
      </c>
      <c r="D22" s="150">
        <f>+D23+D25+D26+D27</f>
        <v>814700</v>
      </c>
      <c r="E22" s="150">
        <f>+E23+E25+E26+E27</f>
        <v>814700</v>
      </c>
      <c r="F22" s="151">
        <f>+E22/D22</f>
        <v>1</v>
      </c>
      <c r="G22" s="152" t="s">
        <v>23</v>
      </c>
      <c r="H22" s="149" t="s">
        <v>129</v>
      </c>
      <c r="I22" s="610">
        <f>+I23+I24+I25+I26+I27</f>
        <v>814700</v>
      </c>
      <c r="J22" s="615">
        <f>+J23+J24+J25+J26+J27</f>
        <v>814700</v>
      </c>
      <c r="K22" s="613">
        <f>+K23+K24+K25+K26+K27</f>
        <v>722300</v>
      </c>
      <c r="L22" s="151">
        <f>+K22/J22</f>
        <v>0.8865840186571744</v>
      </c>
      <c r="M22" s="51"/>
      <c r="N22" s="54"/>
      <c r="P22" s="56"/>
      <c r="Q22" s="54"/>
    </row>
    <row r="23" spans="1:17" ht="15" customHeight="1">
      <c r="A23" s="153" t="s">
        <v>111</v>
      </c>
      <c r="B23" s="154" t="s">
        <v>209</v>
      </c>
      <c r="C23" s="155">
        <f>+C24</f>
        <v>814700</v>
      </c>
      <c r="D23" s="155">
        <f>+D24</f>
        <v>814700</v>
      </c>
      <c r="E23" s="155">
        <f>+E24</f>
        <v>814700</v>
      </c>
      <c r="F23" s="618">
        <f>+E23/D23</f>
        <v>1</v>
      </c>
      <c r="G23" s="156" t="s">
        <v>111</v>
      </c>
      <c r="H23" s="157" t="s">
        <v>80</v>
      </c>
      <c r="I23" s="611">
        <f>40000+3*50000+4*30000+(40000+3*50000+4*30000)+80000</f>
        <v>700000</v>
      </c>
      <c r="J23" s="616">
        <f>700000</f>
        <v>700000</v>
      </c>
      <c r="K23" s="617">
        <v>620000</v>
      </c>
      <c r="L23" s="618">
        <f>+K23/J23</f>
        <v>0.8857142857142857</v>
      </c>
      <c r="M23" s="51"/>
      <c r="N23" s="54"/>
      <c r="O23" s="57"/>
      <c r="P23" s="56"/>
      <c r="Q23" s="54"/>
    </row>
    <row r="24" spans="1:17" ht="15" customHeight="1">
      <c r="A24" s="153"/>
      <c r="B24" s="158" t="s">
        <v>210</v>
      </c>
      <c r="C24" s="155">
        <f>364250+358050+92400</f>
        <v>814700</v>
      </c>
      <c r="D24" s="155">
        <f>814700</f>
        <v>814700</v>
      </c>
      <c r="E24" s="155">
        <v>814700</v>
      </c>
      <c r="F24" s="618">
        <f>+E24/D24</f>
        <v>1</v>
      </c>
      <c r="G24" s="156" t="s">
        <v>112</v>
      </c>
      <c r="H24" s="157" t="s">
        <v>147</v>
      </c>
      <c r="I24" s="611">
        <f>54250+48050+12400</f>
        <v>114700</v>
      </c>
      <c r="J24" s="616">
        <f>114700</f>
        <v>114700</v>
      </c>
      <c r="K24" s="617">
        <v>102300</v>
      </c>
      <c r="L24" s="618">
        <f>+K24/J24</f>
        <v>0.8918918918918919</v>
      </c>
      <c r="M24" s="51"/>
      <c r="N24" s="54"/>
      <c r="O24" s="57"/>
      <c r="P24" s="56"/>
      <c r="Q24" s="54"/>
    </row>
    <row r="25" spans="1:17" ht="15" customHeight="1">
      <c r="A25" s="153" t="s">
        <v>112</v>
      </c>
      <c r="B25" s="159" t="s">
        <v>9</v>
      </c>
      <c r="C25" s="155"/>
      <c r="D25" s="155"/>
      <c r="E25" s="150"/>
      <c r="F25" s="151"/>
      <c r="G25" s="156" t="s">
        <v>113</v>
      </c>
      <c r="H25" s="157" t="s">
        <v>83</v>
      </c>
      <c r="I25" s="611"/>
      <c r="J25" s="616"/>
      <c r="K25" s="613"/>
      <c r="L25" s="151"/>
      <c r="M25" s="51"/>
      <c r="N25" s="54"/>
      <c r="O25" s="57"/>
      <c r="P25" s="56"/>
      <c r="Q25" s="54"/>
    </row>
    <row r="26" spans="1:17" ht="15" customHeight="1">
      <c r="A26" s="153" t="s">
        <v>113</v>
      </c>
      <c r="B26" s="160" t="s">
        <v>170</v>
      </c>
      <c r="C26" s="155"/>
      <c r="D26" s="155"/>
      <c r="E26" s="150"/>
      <c r="F26" s="151"/>
      <c r="G26" s="156" t="s">
        <v>114</v>
      </c>
      <c r="H26" s="157" t="s">
        <v>84</v>
      </c>
      <c r="I26" s="611"/>
      <c r="J26" s="616"/>
      <c r="K26" s="613"/>
      <c r="L26" s="151"/>
      <c r="M26" s="51"/>
      <c r="N26" s="54"/>
      <c r="O26" s="57"/>
      <c r="P26" s="56"/>
      <c r="Q26" s="54"/>
    </row>
    <row r="27" spans="1:17" ht="15" customHeight="1">
      <c r="A27" s="153" t="s">
        <v>114</v>
      </c>
      <c r="B27" s="159" t="s">
        <v>181</v>
      </c>
      <c r="C27" s="155"/>
      <c r="D27" s="155"/>
      <c r="E27" s="150"/>
      <c r="F27" s="151"/>
      <c r="G27" s="156" t="s">
        <v>115</v>
      </c>
      <c r="H27" s="157" t="s">
        <v>211</v>
      </c>
      <c r="I27" s="611"/>
      <c r="J27" s="616"/>
      <c r="K27" s="613"/>
      <c r="L27" s="151"/>
      <c r="M27" s="51"/>
      <c r="N27" s="54"/>
      <c r="O27" s="57"/>
      <c r="P27" s="56"/>
      <c r="Q27" s="54"/>
    </row>
    <row r="28" spans="1:17" ht="15" customHeight="1">
      <c r="A28" s="161" t="s">
        <v>45</v>
      </c>
      <c r="B28" s="149" t="s">
        <v>118</v>
      </c>
      <c r="C28" s="150"/>
      <c r="D28" s="150"/>
      <c r="E28" s="150"/>
      <c r="F28" s="151"/>
      <c r="G28" s="162" t="s">
        <v>45</v>
      </c>
      <c r="H28" s="149" t="s">
        <v>130</v>
      </c>
      <c r="I28" s="610"/>
      <c r="J28" s="615"/>
      <c r="K28" s="613"/>
      <c r="L28" s="151"/>
      <c r="M28" s="51"/>
      <c r="N28" s="54"/>
      <c r="P28" s="56"/>
      <c r="Q28" s="54"/>
    </row>
    <row r="29" spans="1:17" ht="15" customHeight="1">
      <c r="A29" s="163" t="s">
        <v>111</v>
      </c>
      <c r="B29" s="159" t="s">
        <v>106</v>
      </c>
      <c r="C29" s="155"/>
      <c r="D29" s="155"/>
      <c r="E29" s="150"/>
      <c r="F29" s="151"/>
      <c r="G29" s="164" t="s">
        <v>111</v>
      </c>
      <c r="H29" s="160" t="s">
        <v>131</v>
      </c>
      <c r="I29" s="611"/>
      <c r="J29" s="616"/>
      <c r="K29" s="613"/>
      <c r="L29" s="151"/>
      <c r="M29" s="51"/>
      <c r="N29" s="54"/>
      <c r="P29" s="56"/>
      <c r="Q29" s="54"/>
    </row>
    <row r="30" spans="1:17" ht="15" customHeight="1">
      <c r="A30" s="163" t="s">
        <v>112</v>
      </c>
      <c r="B30" s="157" t="s">
        <v>39</v>
      </c>
      <c r="C30" s="155"/>
      <c r="D30" s="155"/>
      <c r="E30" s="150"/>
      <c r="F30" s="151"/>
      <c r="G30" s="164" t="s">
        <v>112</v>
      </c>
      <c r="H30" s="160" t="s">
        <v>87</v>
      </c>
      <c r="I30" s="611"/>
      <c r="J30" s="616"/>
      <c r="K30" s="613"/>
      <c r="L30" s="151"/>
      <c r="M30" s="51"/>
      <c r="N30" s="54"/>
      <c r="P30" s="56"/>
      <c r="Q30" s="54"/>
    </row>
    <row r="31" spans="1:17" ht="15" customHeight="1">
      <c r="A31" s="163" t="s">
        <v>113</v>
      </c>
      <c r="B31" s="159" t="s">
        <v>201</v>
      </c>
      <c r="C31" s="155"/>
      <c r="D31" s="155"/>
      <c r="E31" s="150"/>
      <c r="F31" s="151"/>
      <c r="G31" s="164" t="s">
        <v>113</v>
      </c>
      <c r="H31" s="160" t="s">
        <v>90</v>
      </c>
      <c r="I31" s="611"/>
      <c r="J31" s="616"/>
      <c r="K31" s="613"/>
      <c r="L31" s="151"/>
      <c r="M31" s="51"/>
      <c r="N31" s="54"/>
      <c r="P31" s="56"/>
      <c r="Q31" s="54"/>
    </row>
    <row r="32" spans="1:17" ht="15" customHeight="1">
      <c r="A32" s="161" t="s">
        <v>56</v>
      </c>
      <c r="B32" s="149" t="s">
        <v>126</v>
      </c>
      <c r="C32" s="150"/>
      <c r="D32" s="150"/>
      <c r="E32" s="150"/>
      <c r="F32" s="151"/>
      <c r="G32" s="162" t="s">
        <v>56</v>
      </c>
      <c r="H32" s="149" t="s">
        <v>132</v>
      </c>
      <c r="I32" s="610"/>
      <c r="J32" s="615"/>
      <c r="K32" s="613"/>
      <c r="L32" s="151"/>
      <c r="M32" s="51"/>
      <c r="N32" s="54"/>
      <c r="P32" s="56"/>
      <c r="Q32" s="54"/>
    </row>
    <row r="33" spans="1:17" ht="15" customHeight="1">
      <c r="A33" s="148" t="s">
        <v>64</v>
      </c>
      <c r="B33" s="165" t="s">
        <v>127</v>
      </c>
      <c r="C33" s="150"/>
      <c r="D33" s="150"/>
      <c r="E33" s="150"/>
      <c r="F33" s="151"/>
      <c r="G33" s="152" t="s">
        <v>64</v>
      </c>
      <c r="H33" s="165" t="s">
        <v>133</v>
      </c>
      <c r="I33" s="610"/>
      <c r="J33" s="615"/>
      <c r="K33" s="613"/>
      <c r="L33" s="151"/>
      <c r="M33" s="51"/>
      <c r="N33" s="54"/>
      <c r="P33" s="56"/>
      <c r="Q33" s="54"/>
    </row>
    <row r="34" spans="1:17" ht="15" customHeight="1" thickBot="1">
      <c r="A34" s="166"/>
      <c r="B34" s="167" t="s">
        <v>148</v>
      </c>
      <c r="C34" s="168">
        <f>+C33+C32+C28+C22</f>
        <v>814700</v>
      </c>
      <c r="D34" s="168">
        <f>+D33+D32+D28+D22</f>
        <v>814700</v>
      </c>
      <c r="E34" s="168">
        <f>+E33+E32+E28+E22</f>
        <v>814700</v>
      </c>
      <c r="F34" s="169">
        <f>+E34/D34</f>
        <v>1</v>
      </c>
      <c r="G34" s="167"/>
      <c r="H34" s="167" t="s">
        <v>149</v>
      </c>
      <c r="I34" s="612">
        <f>+I33+I32+I28+I22</f>
        <v>814700</v>
      </c>
      <c r="J34" s="168">
        <f>+J33+J32+J28+J22</f>
        <v>814700</v>
      </c>
      <c r="K34" s="614">
        <f>+K33+K32+K28+K22</f>
        <v>722300</v>
      </c>
      <c r="L34" s="169">
        <f>+K34/J34</f>
        <v>0.8865840186571744</v>
      </c>
      <c r="M34" s="51"/>
      <c r="N34" s="54"/>
      <c r="P34" s="56"/>
      <c r="Q34" s="54"/>
    </row>
    <row r="35" spans="1:13" ht="15">
      <c r="A35" s="60"/>
      <c r="B35" s="60"/>
      <c r="C35" s="61"/>
      <c r="D35" s="61"/>
      <c r="E35" s="61"/>
      <c r="F35" s="82"/>
      <c r="G35" s="60"/>
      <c r="H35" s="60"/>
      <c r="I35" s="60"/>
      <c r="J35" s="61"/>
      <c r="K35" s="61"/>
      <c r="L35" s="82"/>
      <c r="M35" s="51"/>
    </row>
    <row r="36" spans="1:12" ht="15">
      <c r="A36" s="90"/>
      <c r="B36" s="90"/>
      <c r="C36" s="93"/>
      <c r="D36" s="93"/>
      <c r="E36" s="93"/>
      <c r="F36" s="145"/>
      <c r="G36" s="90"/>
      <c r="H36" s="90"/>
      <c r="I36" s="90"/>
      <c r="J36" s="93"/>
      <c r="K36" s="93"/>
      <c r="L36" s="145"/>
    </row>
    <row r="37" spans="1:12" ht="16.5" thickBot="1">
      <c r="A37" s="146" t="s">
        <v>848</v>
      </c>
      <c r="B37" s="91"/>
      <c r="C37" s="93"/>
      <c r="D37" s="93"/>
      <c r="E37" s="90"/>
      <c r="F37" s="90"/>
      <c r="G37" s="95"/>
      <c r="H37" s="95" t="s">
        <v>216</v>
      </c>
      <c r="I37" s="90"/>
      <c r="J37" s="609"/>
      <c r="K37" s="93"/>
      <c r="L37" s="649" t="s">
        <v>216</v>
      </c>
    </row>
    <row r="38" spans="1:12" ht="28.5">
      <c r="A38" s="96"/>
      <c r="B38" s="97" t="s">
        <v>104</v>
      </c>
      <c r="C38" s="86" t="s">
        <v>862</v>
      </c>
      <c r="D38" s="86" t="s">
        <v>863</v>
      </c>
      <c r="E38" s="86" t="s">
        <v>303</v>
      </c>
      <c r="F38" s="147" t="s">
        <v>304</v>
      </c>
      <c r="G38" s="98"/>
      <c r="H38" s="97" t="s">
        <v>105</v>
      </c>
      <c r="I38" s="606" t="s">
        <v>862</v>
      </c>
      <c r="J38" s="607" t="s">
        <v>863</v>
      </c>
      <c r="K38" s="605" t="s">
        <v>303</v>
      </c>
      <c r="L38" s="147" t="s">
        <v>304</v>
      </c>
    </row>
    <row r="39" spans="1:12" ht="15">
      <c r="A39" s="148" t="s">
        <v>23</v>
      </c>
      <c r="B39" s="149" t="s">
        <v>108</v>
      </c>
      <c r="C39" s="150"/>
      <c r="D39" s="150"/>
      <c r="E39" s="150"/>
      <c r="F39" s="151"/>
      <c r="G39" s="152" t="s">
        <v>23</v>
      </c>
      <c r="H39" s="149" t="s">
        <v>129</v>
      </c>
      <c r="I39" s="610">
        <f>+I40+I41+I42+I43+I44</f>
        <v>2295547</v>
      </c>
      <c r="J39" s="615">
        <f>+J40+J41+J42+J43+J44</f>
        <v>2295547</v>
      </c>
      <c r="K39" s="613">
        <f>SUM(K40:K44)</f>
        <v>2295547</v>
      </c>
      <c r="L39" s="151">
        <f>+K39/J39</f>
        <v>1</v>
      </c>
    </row>
    <row r="40" spans="1:12" ht="15" customHeight="1">
      <c r="A40" s="153" t="s">
        <v>111</v>
      </c>
      <c r="B40" s="154" t="s">
        <v>209</v>
      </c>
      <c r="C40" s="155"/>
      <c r="D40" s="155"/>
      <c r="E40" s="150"/>
      <c r="F40" s="151"/>
      <c r="G40" s="156" t="s">
        <v>111</v>
      </c>
      <c r="H40" s="157" t="s">
        <v>80</v>
      </c>
      <c r="I40" s="611">
        <v>1964827</v>
      </c>
      <c r="J40" s="616">
        <v>1964827</v>
      </c>
      <c r="K40" s="617">
        <v>1964827</v>
      </c>
      <c r="L40" s="618">
        <f>+K40/J40</f>
        <v>1</v>
      </c>
    </row>
    <row r="41" spans="1:12" ht="15">
      <c r="A41" s="153"/>
      <c r="B41" s="158" t="s">
        <v>210</v>
      </c>
      <c r="C41" s="155"/>
      <c r="D41" s="155"/>
      <c r="E41" s="150"/>
      <c r="F41" s="151"/>
      <c r="G41" s="156" t="s">
        <v>112</v>
      </c>
      <c r="H41" s="157" t="s">
        <v>147</v>
      </c>
      <c r="I41" s="611">
        <v>330720</v>
      </c>
      <c r="J41" s="616">
        <v>330720</v>
      </c>
      <c r="K41" s="617">
        <v>330720</v>
      </c>
      <c r="L41" s="618">
        <f>+K41/J41</f>
        <v>1</v>
      </c>
    </row>
    <row r="42" spans="1:12" ht="15">
      <c r="A42" s="153" t="s">
        <v>112</v>
      </c>
      <c r="B42" s="159" t="s">
        <v>9</v>
      </c>
      <c r="C42" s="155"/>
      <c r="D42" s="155"/>
      <c r="E42" s="150"/>
      <c r="F42" s="151"/>
      <c r="G42" s="156" t="s">
        <v>113</v>
      </c>
      <c r="H42" s="157" t="s">
        <v>83</v>
      </c>
      <c r="I42" s="611"/>
      <c r="J42" s="616"/>
      <c r="K42" s="613"/>
      <c r="L42" s="151"/>
    </row>
    <row r="43" spans="1:12" ht="15">
      <c r="A43" s="153" t="s">
        <v>113</v>
      </c>
      <c r="B43" s="160" t="s">
        <v>170</v>
      </c>
      <c r="C43" s="155"/>
      <c r="D43" s="155"/>
      <c r="E43" s="150"/>
      <c r="F43" s="151"/>
      <c r="G43" s="156" t="s">
        <v>114</v>
      </c>
      <c r="H43" s="157" t="s">
        <v>84</v>
      </c>
      <c r="I43" s="611"/>
      <c r="J43" s="616"/>
      <c r="K43" s="613"/>
      <c r="L43" s="151"/>
    </row>
    <row r="44" spans="1:12" ht="15">
      <c r="A44" s="153" t="s">
        <v>114</v>
      </c>
      <c r="B44" s="159" t="s">
        <v>181</v>
      </c>
      <c r="C44" s="155"/>
      <c r="D44" s="155"/>
      <c r="E44" s="150"/>
      <c r="F44" s="151"/>
      <c r="G44" s="156" t="s">
        <v>115</v>
      </c>
      <c r="H44" s="157" t="s">
        <v>211</v>
      </c>
      <c r="I44" s="611"/>
      <c r="J44" s="616"/>
      <c r="K44" s="613"/>
      <c r="L44" s="151"/>
    </row>
    <row r="45" spans="1:12" ht="15">
      <c r="A45" s="161" t="s">
        <v>45</v>
      </c>
      <c r="B45" s="149" t="s">
        <v>118</v>
      </c>
      <c r="C45" s="150"/>
      <c r="D45" s="150"/>
      <c r="E45" s="150"/>
      <c r="F45" s="151"/>
      <c r="G45" s="162" t="s">
        <v>45</v>
      </c>
      <c r="H45" s="149" t="s">
        <v>130</v>
      </c>
      <c r="I45" s="610"/>
      <c r="J45" s="615"/>
      <c r="K45" s="613"/>
      <c r="L45" s="151"/>
    </row>
    <row r="46" spans="1:12" ht="15">
      <c r="A46" s="163" t="s">
        <v>111</v>
      </c>
      <c r="B46" s="159" t="s">
        <v>106</v>
      </c>
      <c r="C46" s="155"/>
      <c r="D46" s="155"/>
      <c r="E46" s="150"/>
      <c r="F46" s="151"/>
      <c r="G46" s="164" t="s">
        <v>111</v>
      </c>
      <c r="H46" s="160" t="s">
        <v>131</v>
      </c>
      <c r="I46" s="611"/>
      <c r="J46" s="616"/>
      <c r="K46" s="613"/>
      <c r="L46" s="151"/>
    </row>
    <row r="47" spans="1:12" ht="15">
      <c r="A47" s="163" t="s">
        <v>112</v>
      </c>
      <c r="B47" s="157" t="s">
        <v>39</v>
      </c>
      <c r="C47" s="155"/>
      <c r="D47" s="155"/>
      <c r="E47" s="150"/>
      <c r="F47" s="151"/>
      <c r="G47" s="164" t="s">
        <v>112</v>
      </c>
      <c r="H47" s="160" t="s">
        <v>87</v>
      </c>
      <c r="I47" s="611"/>
      <c r="J47" s="616"/>
      <c r="K47" s="613"/>
      <c r="L47" s="151"/>
    </row>
    <row r="48" spans="1:12" ht="15">
      <c r="A48" s="163" t="s">
        <v>113</v>
      </c>
      <c r="B48" s="159" t="s">
        <v>201</v>
      </c>
      <c r="C48" s="155"/>
      <c r="D48" s="155"/>
      <c r="E48" s="150"/>
      <c r="F48" s="151"/>
      <c r="G48" s="164" t="s">
        <v>113</v>
      </c>
      <c r="H48" s="160" t="s">
        <v>90</v>
      </c>
      <c r="I48" s="611"/>
      <c r="J48" s="616"/>
      <c r="K48" s="613"/>
      <c r="L48" s="151"/>
    </row>
    <row r="49" spans="1:12" ht="15">
      <c r="A49" s="161" t="s">
        <v>56</v>
      </c>
      <c r="B49" s="149" t="s">
        <v>126</v>
      </c>
      <c r="C49" s="150">
        <v>2295547</v>
      </c>
      <c r="D49" s="150">
        <v>2295547</v>
      </c>
      <c r="E49" s="150">
        <v>0</v>
      </c>
      <c r="F49" s="151">
        <f>E49/D49</f>
        <v>0</v>
      </c>
      <c r="G49" s="162" t="s">
        <v>56</v>
      </c>
      <c r="H49" s="149" t="s">
        <v>132</v>
      </c>
      <c r="I49" s="610"/>
      <c r="J49" s="615"/>
      <c r="K49" s="613"/>
      <c r="L49" s="151"/>
    </row>
    <row r="50" spans="1:12" ht="15">
      <c r="A50" s="148" t="s">
        <v>64</v>
      </c>
      <c r="B50" s="165" t="s">
        <v>127</v>
      </c>
      <c r="C50" s="150"/>
      <c r="D50" s="150"/>
      <c r="E50" s="150"/>
      <c r="F50" s="151"/>
      <c r="G50" s="152" t="s">
        <v>64</v>
      </c>
      <c r="H50" s="165" t="s">
        <v>133</v>
      </c>
      <c r="I50" s="610"/>
      <c r="J50" s="615"/>
      <c r="K50" s="613"/>
      <c r="L50" s="151"/>
    </row>
    <row r="51" spans="1:12" ht="15.75" thickBot="1">
      <c r="A51" s="166"/>
      <c r="B51" s="167" t="s">
        <v>148</v>
      </c>
      <c r="C51" s="168">
        <f>+C39+C45+C49+C50</f>
        <v>2295547</v>
      </c>
      <c r="D51" s="168">
        <f>+D39+D45+D49+D50</f>
        <v>2295547</v>
      </c>
      <c r="E51" s="168">
        <f>+E50+E49+E45+E39</f>
        <v>0</v>
      </c>
      <c r="F51" s="169">
        <f>+E51/D51</f>
        <v>0</v>
      </c>
      <c r="G51" s="167"/>
      <c r="H51" s="167" t="s">
        <v>149</v>
      </c>
      <c r="I51" s="612">
        <f>+I50+I49+I45+I39</f>
        <v>2295547</v>
      </c>
      <c r="J51" s="168">
        <f>+J50+J49+J45+J39</f>
        <v>2295547</v>
      </c>
      <c r="K51" s="614">
        <f>+K50+K49+K45+K39</f>
        <v>2295547</v>
      </c>
      <c r="L51" s="169">
        <f>+K51/J51</f>
        <v>1</v>
      </c>
    </row>
  </sheetData>
  <sheetProtection/>
  <mergeCells count="4">
    <mergeCell ref="H1:J1"/>
    <mergeCell ref="A2:J2"/>
    <mergeCell ref="A4:B4"/>
    <mergeCell ref="A19:B19"/>
  </mergeCells>
  <printOptions horizontalCentered="1"/>
  <pageMargins left="0.31496062992125984" right="0.31496062992125984" top="0.35433070866141736" bottom="0.35433070866141736" header="0.31496062992125984" footer="0.31496062992125984"/>
  <pageSetup fitToHeight="3"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4">
      <selection activeCell="A2" sqref="A2:C2"/>
    </sheetView>
  </sheetViews>
  <sheetFormatPr defaultColWidth="9.140625" defaultRowHeight="15"/>
  <cols>
    <col min="1" max="1" width="34.7109375" style="34" customWidth="1"/>
    <col min="2" max="2" width="11.7109375" style="44" bestFit="1" customWidth="1"/>
    <col min="3" max="3" width="10.28125" style="34" customWidth="1"/>
    <col min="4" max="4" width="34.7109375" style="34" customWidth="1"/>
    <col min="5" max="5" width="11.140625" style="34" bestFit="1" customWidth="1"/>
    <col min="6" max="6" width="11.28125" style="34" bestFit="1" customWidth="1"/>
    <col min="7" max="7" width="13.28125" style="34" bestFit="1" customWidth="1"/>
    <col min="8" max="16384" width="9.140625" style="34" customWidth="1"/>
  </cols>
  <sheetData>
    <row r="1" spans="1:3" ht="14.25">
      <c r="A1" s="764" t="s">
        <v>921</v>
      </c>
      <c r="B1" s="764"/>
      <c r="C1" s="764"/>
    </row>
    <row r="2" spans="1:5" ht="15">
      <c r="A2" s="766" t="s">
        <v>770</v>
      </c>
      <c r="B2" s="766"/>
      <c r="C2" s="766"/>
      <c r="D2" s="651"/>
      <c r="E2" s="651"/>
    </row>
    <row r="3" spans="1:5" ht="14.25">
      <c r="A3" s="765" t="s">
        <v>900</v>
      </c>
      <c r="B3" s="765"/>
      <c r="C3" s="765"/>
      <c r="D3" s="179"/>
      <c r="E3" s="179"/>
    </row>
    <row r="4" spans="1:5" ht="14.25">
      <c r="A4" s="650"/>
      <c r="B4" s="650"/>
      <c r="C4" s="650"/>
      <c r="D4" s="650"/>
      <c r="E4" s="650"/>
    </row>
    <row r="5" spans="1:5" ht="14.25">
      <c r="A5" s="763" t="s">
        <v>951</v>
      </c>
      <c r="B5" s="763"/>
      <c r="C5" s="650"/>
      <c r="D5" s="650"/>
      <c r="E5" s="650"/>
    </row>
    <row r="6" spans="1:5" ht="15" thickBot="1">
      <c r="A6" s="177"/>
      <c r="B6" s="180" t="s">
        <v>216</v>
      </c>
      <c r="C6" s="650"/>
      <c r="D6" s="650"/>
      <c r="E6" s="650"/>
    </row>
    <row r="7" spans="1:5" ht="14.25">
      <c r="A7" s="181" t="s">
        <v>771</v>
      </c>
      <c r="B7" s="182"/>
      <c r="C7" s="650"/>
      <c r="D7" s="650"/>
      <c r="E7" s="650"/>
    </row>
    <row r="8" spans="1:5" ht="14.25">
      <c r="A8" s="183" t="s">
        <v>901</v>
      </c>
      <c r="B8" s="184">
        <f>B25+B42</f>
        <v>554210127</v>
      </c>
      <c r="C8" s="650"/>
      <c r="D8" s="650"/>
      <c r="E8" s="650"/>
    </row>
    <row r="9" spans="1:5" ht="14.25">
      <c r="A9" s="183" t="s">
        <v>772</v>
      </c>
      <c r="B9" s="184">
        <f aca="true" t="shared" si="0" ref="B9:B20">B26+B43</f>
        <v>643307238</v>
      </c>
      <c r="C9" s="650"/>
      <c r="D9" s="650"/>
      <c r="E9" s="650"/>
    </row>
    <row r="10" spans="1:5" ht="14.25">
      <c r="A10" s="183" t="s">
        <v>105</v>
      </c>
      <c r="B10" s="184">
        <f t="shared" si="0"/>
        <v>692084312</v>
      </c>
      <c r="C10" s="650"/>
      <c r="D10" s="650"/>
      <c r="E10" s="650"/>
    </row>
    <row r="11" spans="1:5" ht="14.25">
      <c r="A11" s="183" t="s">
        <v>773</v>
      </c>
      <c r="B11" s="184">
        <f t="shared" si="0"/>
        <v>-1771208</v>
      </c>
      <c r="C11" s="650"/>
      <c r="D11" s="650"/>
      <c r="E11" s="650"/>
    </row>
    <row r="12" spans="1:5" ht="14.25">
      <c r="A12" s="185" t="s">
        <v>902</v>
      </c>
      <c r="B12" s="186">
        <f t="shared" si="0"/>
        <v>503661845</v>
      </c>
      <c r="C12" s="650"/>
      <c r="D12" s="650"/>
      <c r="E12" s="650"/>
    </row>
    <row r="13" spans="1:5" ht="14.25">
      <c r="A13" s="188"/>
      <c r="B13" s="184">
        <f t="shared" si="0"/>
        <v>0</v>
      </c>
      <c r="C13" s="650"/>
      <c r="D13" s="650"/>
      <c r="E13" s="650"/>
    </row>
    <row r="14" spans="1:5" ht="14.25">
      <c r="A14" s="185" t="s">
        <v>774</v>
      </c>
      <c r="B14" s="184">
        <f t="shared" si="0"/>
        <v>0</v>
      </c>
      <c r="C14" s="650"/>
      <c r="D14" s="650"/>
      <c r="E14" s="650"/>
    </row>
    <row r="15" spans="1:5" ht="14.25">
      <c r="A15" s="183" t="s">
        <v>775</v>
      </c>
      <c r="B15" s="184">
        <f t="shared" si="0"/>
        <v>643307238</v>
      </c>
      <c r="C15" s="650"/>
      <c r="D15" s="650"/>
      <c r="E15" s="650"/>
    </row>
    <row r="16" spans="1:5" ht="14.25">
      <c r="A16" s="183" t="s">
        <v>776</v>
      </c>
      <c r="B16" s="184">
        <f t="shared" si="0"/>
        <v>692084312</v>
      </c>
      <c r="C16" s="650"/>
      <c r="D16" s="650"/>
      <c r="E16" s="650"/>
    </row>
    <row r="17" spans="1:5" ht="14.25">
      <c r="A17" s="183" t="s">
        <v>777</v>
      </c>
      <c r="B17" s="184">
        <f t="shared" si="0"/>
        <v>736349679</v>
      </c>
      <c r="C17" s="650"/>
      <c r="D17" s="650"/>
      <c r="E17" s="650"/>
    </row>
    <row r="18" spans="1:5" ht="14.25">
      <c r="A18" s="183" t="s">
        <v>778</v>
      </c>
      <c r="B18" s="184">
        <f t="shared" si="0"/>
        <v>181358147</v>
      </c>
      <c r="C18" s="650"/>
      <c r="D18" s="650"/>
      <c r="E18" s="650"/>
    </row>
    <row r="19" spans="1:5" ht="14.25">
      <c r="A19" s="185" t="s">
        <v>779</v>
      </c>
      <c r="B19" s="186">
        <f t="shared" si="0"/>
        <v>506214458</v>
      </c>
      <c r="C19" s="650"/>
      <c r="D19" s="650"/>
      <c r="E19" s="650"/>
    </row>
    <row r="20" spans="1:5" ht="15" thickBot="1">
      <c r="A20" s="190" t="s">
        <v>903</v>
      </c>
      <c r="B20" s="191">
        <f t="shared" si="0"/>
        <v>506214458</v>
      </c>
      <c r="C20" s="650"/>
      <c r="D20" s="650"/>
      <c r="E20" s="650"/>
    </row>
    <row r="21" spans="1:5" ht="14.25">
      <c r="A21" s="177"/>
      <c r="B21" s="176"/>
      <c r="C21" s="178"/>
      <c r="D21" s="175"/>
      <c r="E21" s="175"/>
    </row>
    <row r="22" spans="1:3" ht="14.25">
      <c r="A22" s="763" t="s">
        <v>238</v>
      </c>
      <c r="B22" s="763"/>
      <c r="C22" s="179"/>
    </row>
    <row r="23" spans="1:3" ht="12.75" customHeight="1" thickBot="1">
      <c r="A23" s="177"/>
      <c r="B23" s="180" t="s">
        <v>216</v>
      </c>
      <c r="C23" s="178"/>
    </row>
    <row r="24" spans="1:3" ht="14.25">
      <c r="A24" s="181" t="s">
        <v>771</v>
      </c>
      <c r="B24" s="182"/>
      <c r="C24" s="178"/>
    </row>
    <row r="25" spans="1:3" ht="14.25">
      <c r="A25" s="183" t="s">
        <v>901</v>
      </c>
      <c r="B25" s="184">
        <v>277644885</v>
      </c>
      <c r="C25" s="178"/>
    </row>
    <row r="26" spans="1:3" ht="14.25">
      <c r="A26" s="183" t="s">
        <v>772</v>
      </c>
      <c r="B26" s="184">
        <v>577024458</v>
      </c>
      <c r="C26" s="178"/>
    </row>
    <row r="27" spans="1:3" ht="14.25">
      <c r="A27" s="183" t="s">
        <v>105</v>
      </c>
      <c r="B27" s="184">
        <v>391676011</v>
      </c>
      <c r="C27" s="178"/>
    </row>
    <row r="28" spans="1:3" ht="14.25">
      <c r="A28" s="183" t="s">
        <v>773</v>
      </c>
      <c r="B28" s="184">
        <v>-169219532</v>
      </c>
      <c r="C28" s="178"/>
    </row>
    <row r="29" spans="1:7" ht="14.25">
      <c r="A29" s="185" t="s">
        <v>902</v>
      </c>
      <c r="B29" s="186">
        <f>+B25+B26-B27+B28</f>
        <v>293773800</v>
      </c>
      <c r="C29" s="178"/>
      <c r="G29" s="44"/>
    </row>
    <row r="30" spans="1:3" ht="14.25">
      <c r="A30" s="188"/>
      <c r="B30" s="184"/>
      <c r="C30" s="178"/>
    </row>
    <row r="31" spans="1:3" ht="14.25">
      <c r="A31" s="185" t="s">
        <v>774</v>
      </c>
      <c r="B31" s="184"/>
      <c r="C31" s="178"/>
    </row>
    <row r="32" spans="1:3" ht="14.25">
      <c r="A32" s="183" t="s">
        <v>775</v>
      </c>
      <c r="B32" s="184">
        <v>577024458</v>
      </c>
      <c r="C32" s="178"/>
    </row>
    <row r="33" spans="1:3" ht="14.25">
      <c r="A33" s="183" t="s">
        <v>776</v>
      </c>
      <c r="B33" s="184">
        <v>391676011</v>
      </c>
      <c r="C33" s="178"/>
    </row>
    <row r="34" spans="1:3" ht="14.25">
      <c r="A34" s="183" t="s">
        <v>777</v>
      </c>
      <c r="B34" s="184">
        <v>289645798</v>
      </c>
      <c r="C34" s="178"/>
    </row>
    <row r="35" spans="1:3" ht="14.25">
      <c r="A35" s="183" t="s">
        <v>778</v>
      </c>
      <c r="B35" s="184">
        <v>181358147</v>
      </c>
      <c r="C35" s="178"/>
    </row>
    <row r="36" spans="1:3" ht="14.25">
      <c r="A36" s="185" t="s">
        <v>779</v>
      </c>
      <c r="B36" s="186">
        <f>+B32-B33+B34-B35</f>
        <v>293636098</v>
      </c>
      <c r="C36" s="178"/>
    </row>
    <row r="37" spans="1:3" ht="15" thickBot="1">
      <c r="A37" s="190" t="s">
        <v>903</v>
      </c>
      <c r="B37" s="191">
        <f>+B36</f>
        <v>293636098</v>
      </c>
      <c r="C37" s="178"/>
    </row>
    <row r="38" spans="1:3" ht="14.25">
      <c r="A38" s="178"/>
      <c r="B38" s="652"/>
      <c r="C38" s="178"/>
    </row>
    <row r="39" spans="1:3" ht="14.25">
      <c r="A39" s="763" t="s">
        <v>780</v>
      </c>
      <c r="B39" s="763"/>
      <c r="C39" s="178"/>
    </row>
    <row r="40" spans="1:3" ht="15" thickBot="1">
      <c r="A40" s="177"/>
      <c r="B40" s="180" t="s">
        <v>216</v>
      </c>
      <c r="C40" s="177"/>
    </row>
    <row r="41" spans="1:3" ht="14.25">
      <c r="A41" s="181" t="s">
        <v>771</v>
      </c>
      <c r="B41" s="182"/>
      <c r="C41" s="177"/>
    </row>
    <row r="42" spans="1:3" ht="14.25">
      <c r="A42" s="183" t="s">
        <v>901</v>
      </c>
      <c r="B42" s="184">
        <v>276565242</v>
      </c>
      <c r="C42" s="177"/>
    </row>
    <row r="43" spans="1:3" ht="14.25">
      <c r="A43" s="183" t="s">
        <v>772</v>
      </c>
      <c r="B43" s="184">
        <v>66282780</v>
      </c>
      <c r="C43" s="178"/>
    </row>
    <row r="44" spans="1:3" ht="14.25">
      <c r="A44" s="183" t="s">
        <v>105</v>
      </c>
      <c r="B44" s="184">
        <v>300408301</v>
      </c>
      <c r="C44" s="178"/>
    </row>
    <row r="45" spans="1:3" ht="14.25">
      <c r="A45" s="183" t="s">
        <v>773</v>
      </c>
      <c r="B45" s="184">
        <v>167448324</v>
      </c>
      <c r="C45" s="178"/>
    </row>
    <row r="46" spans="1:3" ht="15">
      <c r="A46" s="187" t="s">
        <v>902</v>
      </c>
      <c r="B46" s="186">
        <f>B42+B43-B44+B45</f>
        <v>209888045</v>
      </c>
      <c r="C46" s="178"/>
    </row>
    <row r="47" spans="1:3" ht="14.25">
      <c r="A47" s="185"/>
      <c r="B47" s="184"/>
      <c r="C47" s="178"/>
    </row>
    <row r="48" spans="1:3" ht="14.25">
      <c r="A48" s="185" t="s">
        <v>774</v>
      </c>
      <c r="B48" s="186"/>
      <c r="C48" s="178"/>
    </row>
    <row r="49" spans="1:3" s="46" customFormat="1" ht="15">
      <c r="A49" s="183" t="s">
        <v>775</v>
      </c>
      <c r="B49" s="184">
        <v>66282780</v>
      </c>
      <c r="C49" s="653"/>
    </row>
    <row r="50" spans="1:3" ht="14.25">
      <c r="A50" s="183" t="s">
        <v>776</v>
      </c>
      <c r="B50" s="184">
        <v>300408301</v>
      </c>
      <c r="C50" s="178"/>
    </row>
    <row r="51" spans="1:3" ht="14.25">
      <c r="A51" s="183" t="s">
        <v>777</v>
      </c>
      <c r="B51" s="184">
        <v>446703881</v>
      </c>
      <c r="C51" s="178"/>
    </row>
    <row r="52" spans="1:4" ht="14.25">
      <c r="A52" s="183" t="s">
        <v>778</v>
      </c>
      <c r="B52" s="184">
        <v>0</v>
      </c>
      <c r="C52" s="178"/>
      <c r="D52" s="44"/>
    </row>
    <row r="53" spans="1:3" ht="14.25">
      <c r="A53" s="185" t="s">
        <v>779</v>
      </c>
      <c r="B53" s="189">
        <f>+B49-B50+B51</f>
        <v>212578360</v>
      </c>
      <c r="C53" s="178"/>
    </row>
    <row r="54" spans="1:3" ht="15" thickBot="1">
      <c r="A54" s="190" t="s">
        <v>903</v>
      </c>
      <c r="B54" s="191">
        <f>+B53</f>
        <v>212578360</v>
      </c>
      <c r="C54" s="178"/>
    </row>
    <row r="55" ht="14.25">
      <c r="C55" s="43"/>
    </row>
    <row r="56" spans="1:3" ht="14.25">
      <c r="A56" s="43"/>
      <c r="B56" s="45"/>
      <c r="C56" s="43"/>
    </row>
    <row r="57" spans="1:3" ht="14.25">
      <c r="A57" s="43"/>
      <c r="B57" s="45"/>
      <c r="C57" s="43"/>
    </row>
    <row r="58" spans="1:3" ht="14.25">
      <c r="A58" s="47"/>
      <c r="B58" s="48"/>
      <c r="C58" s="47"/>
    </row>
  </sheetData>
  <sheetProtection/>
  <mergeCells count="6">
    <mergeCell ref="A22:B22"/>
    <mergeCell ref="A39:B39"/>
    <mergeCell ref="A5:B5"/>
    <mergeCell ref="A1:C1"/>
    <mergeCell ref="A3:C3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80.57421875" style="22" customWidth="1"/>
    <col min="2" max="3" width="16.00390625" style="25" bestFit="1" customWidth="1"/>
  </cols>
  <sheetData>
    <row r="1" spans="1:5" s="33" customFormat="1" ht="22.5" customHeight="1">
      <c r="A1" s="30" t="s">
        <v>154</v>
      </c>
      <c r="B1" s="31" t="s">
        <v>300</v>
      </c>
      <c r="C1" s="31" t="s">
        <v>301</v>
      </c>
      <c r="D1" s="32"/>
      <c r="E1" s="32"/>
    </row>
    <row r="2" spans="1:5" ht="15.75">
      <c r="A2" s="26" t="s">
        <v>287</v>
      </c>
      <c r="B2" s="27">
        <f>+B3+B4</f>
        <v>558361849</v>
      </c>
      <c r="C2" s="27">
        <f>+C3+C4</f>
        <v>766272909</v>
      </c>
      <c r="D2" s="23"/>
      <c r="E2" s="23"/>
    </row>
    <row r="3" spans="1:5" ht="15">
      <c r="A3" s="28" t="s">
        <v>288</v>
      </c>
      <c r="B3" s="29">
        <f>+'3.sz.mell_2020.fő'!C5</f>
        <v>477308860</v>
      </c>
      <c r="C3" s="29">
        <f>+'3.sz.mell_2020.fő'!D5</f>
        <v>676718207</v>
      </c>
      <c r="D3" s="23"/>
      <c r="E3" s="23"/>
    </row>
    <row r="4" spans="1:5" ht="15">
      <c r="A4" s="28" t="s">
        <v>289</v>
      </c>
      <c r="B4" s="29">
        <f>+'3.sz.mell_2020.fő'!C42</f>
        <v>81052989</v>
      </c>
      <c r="C4" s="29">
        <f>+'3.sz.mell_2020.fő'!D42</f>
        <v>89554702</v>
      </c>
      <c r="D4" s="23"/>
      <c r="E4" s="23"/>
    </row>
    <row r="5" spans="1:5" ht="15.75">
      <c r="A5" s="26" t="s">
        <v>290</v>
      </c>
      <c r="B5" s="27">
        <f>+B6+B7</f>
        <v>1152872875</v>
      </c>
      <c r="C5" s="27">
        <f>+C6+C7</f>
        <v>1321264441</v>
      </c>
      <c r="D5" s="23"/>
      <c r="E5" s="23"/>
    </row>
    <row r="6" spans="1:5" ht="15">
      <c r="A6" s="28" t="s">
        <v>291</v>
      </c>
      <c r="B6" s="29">
        <f>+'3.sz.mell_2020.fő'!I5</f>
        <v>968387008</v>
      </c>
      <c r="C6" s="29">
        <f>+'3.sz.mell_2020.fő'!J5</f>
        <v>1072004637</v>
      </c>
      <c r="D6" s="23"/>
      <c r="E6" s="23"/>
    </row>
    <row r="7" spans="1:5" ht="15">
      <c r="A7" s="28" t="s">
        <v>292</v>
      </c>
      <c r="B7" s="29">
        <f>+'3.sz.mell_2020.fő'!I42</f>
        <v>184485867</v>
      </c>
      <c r="C7" s="29">
        <f>+'3.sz.mell_2020.fő'!J42</f>
        <v>249259804</v>
      </c>
      <c r="D7" s="23"/>
      <c r="E7" s="23"/>
    </row>
    <row r="8" spans="1:5" ht="15.75">
      <c r="A8" s="26" t="s">
        <v>293</v>
      </c>
      <c r="B8" s="27">
        <f>+B9</f>
        <v>9880000</v>
      </c>
      <c r="C8" s="27">
        <f>+C9</f>
        <v>9880000</v>
      </c>
      <c r="D8" s="23"/>
      <c r="E8" s="23"/>
    </row>
    <row r="9" spans="1:5" ht="15">
      <c r="A9" s="28" t="s">
        <v>302</v>
      </c>
      <c r="B9" s="29">
        <v>9880000</v>
      </c>
      <c r="C9" s="29">
        <v>9880000</v>
      </c>
      <c r="D9" s="23"/>
      <c r="E9" s="23"/>
    </row>
    <row r="10" spans="1:5" ht="15.75">
      <c r="A10" s="26" t="s">
        <v>294</v>
      </c>
      <c r="B10" s="27">
        <f>+B11+B12</f>
        <v>-605731026</v>
      </c>
      <c r="C10" s="27">
        <f>+C11+C12</f>
        <v>-554991532</v>
      </c>
      <c r="D10" s="23"/>
      <c r="E10" s="23"/>
    </row>
    <row r="11" spans="1:5" ht="15">
      <c r="A11" s="28" t="s">
        <v>295</v>
      </c>
      <c r="B11" s="29">
        <f>+'3.sz.mell_2020.fő'!C65*(-1)</f>
        <v>-502298148</v>
      </c>
      <c r="C11" s="29">
        <f>+'3.sz.mell_2020.fő'!D65*(-1)</f>
        <v>-395286430</v>
      </c>
      <c r="D11" s="23"/>
      <c r="E11" s="23"/>
    </row>
    <row r="12" spans="1:5" ht="15">
      <c r="A12" s="28" t="s">
        <v>296</v>
      </c>
      <c r="B12" s="29">
        <f>+'3.sz.mell_2020.fő'!C74*(-1)</f>
        <v>-103432878</v>
      </c>
      <c r="C12" s="29">
        <f>+'3.sz.mell_2020.fő'!D74*(-1)</f>
        <v>-159705102</v>
      </c>
      <c r="D12" s="23"/>
      <c r="E12" s="23"/>
    </row>
    <row r="13" spans="1:5" ht="30">
      <c r="A13" s="26" t="s">
        <v>297</v>
      </c>
      <c r="B13" s="27">
        <f>+B14+B15</f>
        <v>605731026</v>
      </c>
      <c r="C13" s="27">
        <f>+C14+C15</f>
        <v>554991532</v>
      </c>
      <c r="D13" s="23"/>
      <c r="E13" s="23"/>
    </row>
    <row r="14" spans="1:5" ht="30">
      <c r="A14" s="28" t="s">
        <v>298</v>
      </c>
      <c r="B14" s="29">
        <f>+'3.sz.mell_2020.fő'!C59</f>
        <v>502298148</v>
      </c>
      <c r="C14" s="29">
        <f>+'3.sz.mell_2020.fő'!D65</f>
        <v>395286430</v>
      </c>
      <c r="D14" s="23"/>
      <c r="E14" s="23"/>
    </row>
    <row r="15" spans="1:5" ht="30">
      <c r="A15" s="28" t="s">
        <v>299</v>
      </c>
      <c r="B15" s="29">
        <f>+'3.sz.mell_2020.fő'!C68</f>
        <v>103432878</v>
      </c>
      <c r="C15" s="29">
        <f>+'3.sz.mell_2020.fő'!D74</f>
        <v>159705102</v>
      </c>
      <c r="D15" s="23"/>
      <c r="E15" s="23"/>
    </row>
    <row r="16" spans="2:5" ht="15">
      <c r="B16" s="24"/>
      <c r="C16" s="24"/>
      <c r="D16" s="23"/>
      <c r="E16" s="23"/>
    </row>
    <row r="17" spans="2:5" ht="15">
      <c r="B17" s="24"/>
      <c r="C17" s="24"/>
      <c r="D17" s="23"/>
      <c r="E17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view="pageBreakPreview" zoomScale="85" zoomScaleSheetLayoutView="85" zoomScalePageLayoutView="0" workbookViewId="0" topLeftCell="A1">
      <selection activeCell="A2" sqref="A2:D2"/>
    </sheetView>
  </sheetViews>
  <sheetFormatPr defaultColWidth="9.140625" defaultRowHeight="15"/>
  <cols>
    <col min="1" max="1" width="4.00390625" style="278" bestFit="1" customWidth="1"/>
    <col min="2" max="2" width="97.7109375" style="278" customWidth="1"/>
    <col min="3" max="3" width="12.7109375" style="278" bestFit="1" customWidth="1"/>
    <col min="4" max="4" width="12.7109375" style="278" customWidth="1"/>
    <col min="5" max="5" width="9.140625" style="278" customWidth="1"/>
    <col min="6" max="6" width="12.421875" style="278" bestFit="1" customWidth="1"/>
    <col min="7" max="16384" width="9.140625" style="278" customWidth="1"/>
  </cols>
  <sheetData>
    <row r="1" spans="2:5" ht="15">
      <c r="B1" s="669" t="s">
        <v>904</v>
      </c>
      <c r="C1" s="670"/>
      <c r="D1" s="670"/>
      <c r="E1" s="279"/>
    </row>
    <row r="2" spans="1:4" ht="14.25">
      <c r="A2" s="671" t="s">
        <v>864</v>
      </c>
      <c r="B2" s="672"/>
      <c r="C2" s="672"/>
      <c r="D2" s="672"/>
    </row>
    <row r="3" spans="1:4" ht="15.75">
      <c r="A3" s="280"/>
      <c r="B3" s="281"/>
      <c r="C3" s="281"/>
      <c r="D3" s="281"/>
    </row>
    <row r="4" spans="1:4" ht="16.5" thickBot="1">
      <c r="A4" s="280"/>
      <c r="B4" s="281"/>
      <c r="C4" s="281"/>
      <c r="D4" s="282" t="s">
        <v>216</v>
      </c>
    </row>
    <row r="5" spans="1:4" s="287" customFormat="1" ht="26.25" thickBot="1">
      <c r="A5" s="283"/>
      <c r="B5" s="284" t="s">
        <v>154</v>
      </c>
      <c r="C5" s="285" t="s">
        <v>310</v>
      </c>
      <c r="D5" s="286" t="s">
        <v>311</v>
      </c>
    </row>
    <row r="6" spans="1:4" ht="14.25">
      <c r="A6" s="288" t="s">
        <v>312</v>
      </c>
      <c r="B6" s="289" t="s">
        <v>313</v>
      </c>
      <c r="C6" s="290"/>
      <c r="D6" s="290"/>
    </row>
    <row r="7" spans="1:4" ht="14.25">
      <c r="A7" s="291" t="s">
        <v>314</v>
      </c>
      <c r="B7" s="292" t="s">
        <v>315</v>
      </c>
      <c r="C7" s="293">
        <v>36450</v>
      </c>
      <c r="D7" s="293">
        <v>0</v>
      </c>
    </row>
    <row r="8" spans="1:4" ht="14.25">
      <c r="A8" s="291" t="s">
        <v>316</v>
      </c>
      <c r="B8" s="292" t="s">
        <v>317</v>
      </c>
      <c r="C8" s="293">
        <f>11838276+25143935</f>
        <v>36982211</v>
      </c>
      <c r="D8" s="293">
        <f>30373322+11496031</f>
        <v>41869353</v>
      </c>
    </row>
    <row r="9" spans="1:4" ht="14.25">
      <c r="A9" s="291" t="s">
        <v>318</v>
      </c>
      <c r="B9" s="292" t="s">
        <v>319</v>
      </c>
      <c r="C9" s="293">
        <v>0</v>
      </c>
      <c r="D9" s="293">
        <v>0</v>
      </c>
    </row>
    <row r="10" spans="1:4" ht="14.25">
      <c r="A10" s="294" t="s">
        <v>320</v>
      </c>
      <c r="B10" s="295" t="s">
        <v>321</v>
      </c>
      <c r="C10" s="296">
        <f>SUM(C7:C9)</f>
        <v>37018661</v>
      </c>
      <c r="D10" s="296">
        <f>SUM(D7:D9)</f>
        <v>41869353</v>
      </c>
    </row>
    <row r="11" spans="1:4" ht="14.25">
      <c r="A11" s="291" t="s">
        <v>322</v>
      </c>
      <c r="B11" s="292" t="s">
        <v>323</v>
      </c>
      <c r="C11" s="293">
        <v>161710358</v>
      </c>
      <c r="D11" s="293">
        <v>158381232</v>
      </c>
    </row>
    <row r="12" spans="1:4" ht="14.25">
      <c r="A12" s="291" t="s">
        <v>324</v>
      </c>
      <c r="B12" s="292" t="s">
        <v>325</v>
      </c>
      <c r="C12" s="293">
        <f>14840891+21952099</f>
        <v>36792990</v>
      </c>
      <c r="D12" s="293">
        <f>25449646+18529760</f>
        <v>43979406</v>
      </c>
    </row>
    <row r="13" spans="1:4" ht="14.25">
      <c r="A13" s="291" t="s">
        <v>326</v>
      </c>
      <c r="B13" s="292" t="s">
        <v>327</v>
      </c>
      <c r="C13" s="293">
        <v>0</v>
      </c>
      <c r="D13" s="293">
        <v>0</v>
      </c>
    </row>
    <row r="14" spans="1:4" ht="14.25">
      <c r="A14" s="291" t="s">
        <v>328</v>
      </c>
      <c r="B14" s="292" t="s">
        <v>329</v>
      </c>
      <c r="C14" s="293">
        <v>240282452</v>
      </c>
      <c r="D14" s="293">
        <v>311994571</v>
      </c>
    </row>
    <row r="15" spans="1:4" ht="14.25">
      <c r="A15" s="291" t="s">
        <v>330</v>
      </c>
      <c r="B15" s="292" t="s">
        <v>331</v>
      </c>
      <c r="C15" s="293">
        <v>0</v>
      </c>
      <c r="D15" s="293">
        <v>0</v>
      </c>
    </row>
    <row r="16" spans="1:4" ht="14.25">
      <c r="A16" s="294" t="s">
        <v>332</v>
      </c>
      <c r="B16" s="295" t="s">
        <v>333</v>
      </c>
      <c r="C16" s="296">
        <f>SUM(C11:C15)</f>
        <v>438785800</v>
      </c>
      <c r="D16" s="296">
        <f>SUM(D11:D15)</f>
        <v>514355209</v>
      </c>
    </row>
    <row r="17" spans="1:4" ht="14.25">
      <c r="A17" s="291" t="s">
        <v>334</v>
      </c>
      <c r="B17" s="292" t="s">
        <v>335</v>
      </c>
      <c r="C17" s="293">
        <v>1400000</v>
      </c>
      <c r="D17" s="293">
        <v>1400000</v>
      </c>
    </row>
    <row r="18" spans="1:4" ht="14.25">
      <c r="A18" s="291" t="s">
        <v>336</v>
      </c>
      <c r="B18" s="292" t="s">
        <v>337</v>
      </c>
      <c r="C18" s="293">
        <v>0</v>
      </c>
      <c r="D18" s="293">
        <v>0</v>
      </c>
    </row>
    <row r="19" spans="1:4" ht="14.25">
      <c r="A19" s="291" t="s">
        <v>338</v>
      </c>
      <c r="B19" s="292" t="s">
        <v>339</v>
      </c>
      <c r="C19" s="293">
        <v>0</v>
      </c>
      <c r="D19" s="293">
        <v>0</v>
      </c>
    </row>
    <row r="20" spans="1:4" ht="14.25">
      <c r="A20" s="291" t="s">
        <v>340</v>
      </c>
      <c r="B20" s="292" t="s">
        <v>341</v>
      </c>
      <c r="C20" s="293">
        <v>0</v>
      </c>
      <c r="D20" s="293">
        <v>0</v>
      </c>
    </row>
    <row r="21" spans="1:4" ht="14.25">
      <c r="A21" s="291" t="s">
        <v>342</v>
      </c>
      <c r="B21" s="292" t="s">
        <v>343</v>
      </c>
      <c r="C21" s="293">
        <v>0</v>
      </c>
      <c r="D21" s="293">
        <v>0</v>
      </c>
    </row>
    <row r="22" spans="1:4" ht="14.25">
      <c r="A22" s="291" t="s">
        <v>344</v>
      </c>
      <c r="B22" s="292" t="s">
        <v>345</v>
      </c>
      <c r="C22" s="293">
        <v>0</v>
      </c>
      <c r="D22" s="293">
        <v>0</v>
      </c>
    </row>
    <row r="23" spans="1:4" ht="14.25">
      <c r="A23" s="291" t="s">
        <v>346</v>
      </c>
      <c r="B23" s="292" t="s">
        <v>347</v>
      </c>
      <c r="C23" s="293">
        <v>0</v>
      </c>
      <c r="D23" s="293">
        <v>0</v>
      </c>
    </row>
    <row r="24" spans="1:4" ht="14.25">
      <c r="A24" s="294" t="s">
        <v>348</v>
      </c>
      <c r="B24" s="295" t="s">
        <v>349</v>
      </c>
      <c r="C24" s="296">
        <v>1400000</v>
      </c>
      <c r="D24" s="296">
        <v>1400000</v>
      </c>
    </row>
    <row r="25" spans="1:4" ht="14.25">
      <c r="A25" s="291" t="s">
        <v>350</v>
      </c>
      <c r="B25" s="292" t="s">
        <v>351</v>
      </c>
      <c r="C25" s="293">
        <v>0</v>
      </c>
      <c r="D25" s="293">
        <v>0</v>
      </c>
    </row>
    <row r="26" spans="1:4" ht="14.25">
      <c r="A26" s="291" t="s">
        <v>352</v>
      </c>
      <c r="B26" s="292" t="s">
        <v>353</v>
      </c>
      <c r="C26" s="293">
        <v>0</v>
      </c>
      <c r="D26" s="293">
        <v>0</v>
      </c>
    </row>
    <row r="27" spans="1:4" ht="14.25">
      <c r="A27" s="294" t="s">
        <v>354</v>
      </c>
      <c r="B27" s="295" t="s">
        <v>355</v>
      </c>
      <c r="C27" s="296">
        <f>SUM(C25:C26)</f>
        <v>0</v>
      </c>
      <c r="D27" s="296">
        <f>SUM(D25:D26)</f>
        <v>0</v>
      </c>
    </row>
    <row r="28" spans="1:4" ht="14.25">
      <c r="A28" s="294" t="s">
        <v>356</v>
      </c>
      <c r="B28" s="295" t="s">
        <v>357</v>
      </c>
      <c r="C28" s="296">
        <f>+C10+C16+C24+C27</f>
        <v>477204461</v>
      </c>
      <c r="D28" s="296">
        <f>+D10+D16+D24+D27</f>
        <v>557624562</v>
      </c>
    </row>
    <row r="29" spans="1:4" ht="14.25">
      <c r="A29" s="291" t="s">
        <v>358</v>
      </c>
      <c r="B29" s="292" t="s">
        <v>359</v>
      </c>
      <c r="C29" s="293">
        <v>0</v>
      </c>
      <c r="D29" s="293">
        <v>0</v>
      </c>
    </row>
    <row r="30" spans="1:4" ht="14.25">
      <c r="A30" s="291" t="s">
        <v>360</v>
      </c>
      <c r="B30" s="292" t="s">
        <v>361</v>
      </c>
      <c r="C30" s="293">
        <v>0</v>
      </c>
      <c r="D30" s="293">
        <v>0</v>
      </c>
    </row>
    <row r="31" spans="1:4" ht="14.25">
      <c r="A31" s="291" t="s">
        <v>362</v>
      </c>
      <c r="B31" s="292" t="s">
        <v>363</v>
      </c>
      <c r="C31" s="293">
        <v>0</v>
      </c>
      <c r="D31" s="293">
        <v>0</v>
      </c>
    </row>
    <row r="32" spans="1:4" ht="14.25">
      <c r="A32" s="291" t="s">
        <v>364</v>
      </c>
      <c r="B32" s="292" t="s">
        <v>365</v>
      </c>
      <c r="C32" s="293">
        <v>0</v>
      </c>
      <c r="D32" s="293">
        <v>0</v>
      </c>
    </row>
    <row r="33" spans="1:4" ht="14.25">
      <c r="A33" s="291" t="s">
        <v>366</v>
      </c>
      <c r="B33" s="292" t="s">
        <v>367</v>
      </c>
      <c r="C33" s="293">
        <v>0</v>
      </c>
      <c r="D33" s="293">
        <v>0</v>
      </c>
    </row>
    <row r="34" spans="1:4" ht="14.25">
      <c r="A34" s="294" t="s">
        <v>368</v>
      </c>
      <c r="B34" s="295" t="s">
        <v>369</v>
      </c>
      <c r="C34" s="296">
        <f>SUM(C29:C33)</f>
        <v>0</v>
      </c>
      <c r="D34" s="296">
        <f>SUM(D29:D33)</f>
        <v>0</v>
      </c>
    </row>
    <row r="35" spans="1:4" ht="14.25">
      <c r="A35" s="291" t="s">
        <v>370</v>
      </c>
      <c r="B35" s="292" t="s">
        <v>371</v>
      </c>
      <c r="C35" s="293">
        <v>0</v>
      </c>
      <c r="D35" s="293">
        <v>0</v>
      </c>
    </row>
    <row r="36" spans="1:4" ht="14.25">
      <c r="A36" s="291" t="s">
        <v>372</v>
      </c>
      <c r="B36" s="292" t="s">
        <v>373</v>
      </c>
      <c r="C36" s="293">
        <v>0</v>
      </c>
      <c r="D36" s="293">
        <v>0</v>
      </c>
    </row>
    <row r="37" spans="1:4" ht="14.25">
      <c r="A37" s="291" t="s">
        <v>374</v>
      </c>
      <c r="B37" s="292" t="s">
        <v>375</v>
      </c>
      <c r="C37" s="293">
        <v>0</v>
      </c>
      <c r="D37" s="293">
        <v>0</v>
      </c>
    </row>
    <row r="38" spans="1:4" ht="14.25">
      <c r="A38" s="291" t="s">
        <v>376</v>
      </c>
      <c r="B38" s="292" t="s">
        <v>377</v>
      </c>
      <c r="C38" s="293">
        <v>0</v>
      </c>
      <c r="D38" s="293">
        <v>0</v>
      </c>
    </row>
    <row r="39" spans="1:4" ht="14.25">
      <c r="A39" s="291" t="s">
        <v>378</v>
      </c>
      <c r="B39" s="292" t="s">
        <v>379</v>
      </c>
      <c r="C39" s="293">
        <v>0</v>
      </c>
      <c r="D39" s="293">
        <v>0</v>
      </c>
    </row>
    <row r="40" spans="1:4" ht="14.25">
      <c r="A40" s="291" t="s">
        <v>380</v>
      </c>
      <c r="B40" s="292" t="s">
        <v>381</v>
      </c>
      <c r="C40" s="293">
        <v>0</v>
      </c>
      <c r="D40" s="293">
        <v>0</v>
      </c>
    </row>
    <row r="41" spans="1:4" ht="14.25">
      <c r="A41" s="291" t="s">
        <v>382</v>
      </c>
      <c r="B41" s="292" t="s">
        <v>383</v>
      </c>
      <c r="C41" s="293">
        <v>0</v>
      </c>
      <c r="D41" s="293">
        <v>0</v>
      </c>
    </row>
    <row r="42" spans="1:4" ht="14.25">
      <c r="A42" s="294" t="s">
        <v>384</v>
      </c>
      <c r="B42" s="295" t="s">
        <v>385</v>
      </c>
      <c r="C42" s="296">
        <f>SUM(C35:C41)</f>
        <v>0</v>
      </c>
      <c r="D42" s="296">
        <f>SUM(D35:D41)</f>
        <v>0</v>
      </c>
    </row>
    <row r="43" spans="1:4" ht="14.25">
      <c r="A43" s="294" t="s">
        <v>386</v>
      </c>
      <c r="B43" s="295" t="s">
        <v>387</v>
      </c>
      <c r="C43" s="296">
        <f>+C34+C42</f>
        <v>0</v>
      </c>
      <c r="D43" s="296">
        <f>+D34+D42</f>
        <v>0</v>
      </c>
    </row>
    <row r="44" spans="1:4" ht="14.25">
      <c r="A44" s="291" t="s">
        <v>388</v>
      </c>
      <c r="B44" s="292" t="s">
        <v>389</v>
      </c>
      <c r="C44" s="293">
        <v>0</v>
      </c>
      <c r="D44" s="293">
        <v>0</v>
      </c>
    </row>
    <row r="45" spans="1:4" ht="14.25">
      <c r="A45" s="291" t="s">
        <v>390</v>
      </c>
      <c r="B45" s="292" t="s">
        <v>391</v>
      </c>
      <c r="C45" s="293">
        <f>65630+195791+586168</f>
        <v>847589</v>
      </c>
      <c r="D45" s="293">
        <f>984637+484295</f>
        <v>1468932</v>
      </c>
    </row>
    <row r="46" spans="1:4" ht="14.25">
      <c r="A46" s="291" t="s">
        <v>392</v>
      </c>
      <c r="B46" s="292" t="s">
        <v>393</v>
      </c>
      <c r="C46" s="293">
        <f>276500104+271175758</f>
        <v>547675862</v>
      </c>
      <c r="D46" s="293">
        <f>231669220+209403750</f>
        <v>441072970</v>
      </c>
    </row>
    <row r="47" spans="1:4" ht="14.25">
      <c r="A47" s="291" t="s">
        <v>394</v>
      </c>
      <c r="B47" s="292" t="s">
        <v>395</v>
      </c>
      <c r="C47" s="293">
        <v>6119704</v>
      </c>
      <c r="D47" s="293">
        <v>61119943</v>
      </c>
    </row>
    <row r="48" spans="1:4" ht="14.25">
      <c r="A48" s="291" t="s">
        <v>396</v>
      </c>
      <c r="B48" s="292" t="s">
        <v>397</v>
      </c>
      <c r="C48" s="293">
        <v>0</v>
      </c>
      <c r="D48" s="293">
        <v>0</v>
      </c>
    </row>
    <row r="49" spans="1:4" ht="14.25">
      <c r="A49" s="294" t="s">
        <v>398</v>
      </c>
      <c r="B49" s="295" t="s">
        <v>399</v>
      </c>
      <c r="C49" s="296">
        <f>SUM(C44:C48)</f>
        <v>554643155</v>
      </c>
      <c r="D49" s="296">
        <f>SUM(D44:D48)</f>
        <v>503661845</v>
      </c>
    </row>
    <row r="50" spans="1:4" ht="25.5">
      <c r="A50" s="291" t="s">
        <v>400</v>
      </c>
      <c r="B50" s="292" t="s">
        <v>401</v>
      </c>
      <c r="C50" s="293">
        <v>0</v>
      </c>
      <c r="D50" s="293">
        <v>0</v>
      </c>
    </row>
    <row r="51" spans="1:4" ht="25.5">
      <c r="A51" s="291" t="s">
        <v>402</v>
      </c>
      <c r="B51" s="292" t="s">
        <v>403</v>
      </c>
      <c r="C51" s="293">
        <v>0</v>
      </c>
      <c r="D51" s="293">
        <v>0</v>
      </c>
    </row>
    <row r="52" spans="1:4" ht="25.5">
      <c r="A52" s="291" t="s">
        <v>404</v>
      </c>
      <c r="B52" s="292" t="s">
        <v>405</v>
      </c>
      <c r="C52" s="293">
        <v>0</v>
      </c>
      <c r="D52" s="293">
        <v>0</v>
      </c>
    </row>
    <row r="53" spans="1:4" ht="25.5">
      <c r="A53" s="291" t="s">
        <v>406</v>
      </c>
      <c r="B53" s="292" t="s">
        <v>407</v>
      </c>
      <c r="C53" s="293">
        <v>0</v>
      </c>
      <c r="D53" s="293">
        <v>0</v>
      </c>
    </row>
    <row r="54" spans="1:4" ht="14.25">
      <c r="A54" s="291" t="s">
        <v>408</v>
      </c>
      <c r="B54" s="292" t="s">
        <v>409</v>
      </c>
      <c r="C54" s="293">
        <v>0</v>
      </c>
      <c r="D54" s="293">
        <v>0</v>
      </c>
    </row>
    <row r="55" spans="1:4" ht="14.25">
      <c r="A55" s="291" t="s">
        <v>410</v>
      </c>
      <c r="B55" s="292" t="s">
        <v>411</v>
      </c>
      <c r="C55" s="293">
        <v>300000</v>
      </c>
      <c r="D55" s="293">
        <v>300000</v>
      </c>
    </row>
    <row r="56" spans="1:4" ht="14.25">
      <c r="A56" s="291" t="s">
        <v>412</v>
      </c>
      <c r="B56" s="292" t="s">
        <v>413</v>
      </c>
      <c r="C56" s="293">
        <v>0</v>
      </c>
      <c r="D56" s="293">
        <v>0</v>
      </c>
    </row>
    <row r="57" spans="1:4" ht="14.25">
      <c r="A57" s="291" t="s">
        <v>414</v>
      </c>
      <c r="B57" s="292" t="s">
        <v>415</v>
      </c>
      <c r="C57" s="293">
        <v>0</v>
      </c>
      <c r="D57" s="293">
        <v>0</v>
      </c>
    </row>
    <row r="58" spans="1:4" ht="25.5">
      <c r="A58" s="291" t="s">
        <v>416</v>
      </c>
      <c r="B58" s="292" t="s">
        <v>417</v>
      </c>
      <c r="C58" s="293">
        <v>0</v>
      </c>
      <c r="D58" s="293">
        <v>0</v>
      </c>
    </row>
    <row r="59" spans="1:4" ht="14.25">
      <c r="A59" s="291" t="s">
        <v>418</v>
      </c>
      <c r="B59" s="292" t="s">
        <v>419</v>
      </c>
      <c r="C59" s="293">
        <v>0</v>
      </c>
      <c r="D59" s="293">
        <v>0</v>
      </c>
    </row>
    <row r="60" spans="1:4" ht="25.5">
      <c r="A60" s="291" t="s">
        <v>420</v>
      </c>
      <c r="B60" s="292" t="s">
        <v>421</v>
      </c>
      <c r="C60" s="293">
        <v>0</v>
      </c>
      <c r="D60" s="293">
        <v>0</v>
      </c>
    </row>
    <row r="61" spans="1:4" ht="14.25">
      <c r="A61" s="291" t="s">
        <v>422</v>
      </c>
      <c r="B61" s="292" t="s">
        <v>423</v>
      </c>
      <c r="C61" s="293">
        <v>0</v>
      </c>
      <c r="D61" s="293">
        <v>0</v>
      </c>
    </row>
    <row r="62" spans="1:4" ht="25.5">
      <c r="A62" s="291" t="s">
        <v>424</v>
      </c>
      <c r="B62" s="292" t="s">
        <v>425</v>
      </c>
      <c r="C62" s="293">
        <v>0</v>
      </c>
      <c r="D62" s="293">
        <v>0</v>
      </c>
    </row>
    <row r="63" spans="1:4" ht="14.25">
      <c r="A63" s="294" t="s">
        <v>426</v>
      </c>
      <c r="B63" s="295" t="s">
        <v>427</v>
      </c>
      <c r="C63" s="296">
        <f>+C50+C52+C54+C55+C56+C57+C59+C61</f>
        <v>300000</v>
      </c>
      <c r="D63" s="296">
        <f>+D50+D52+D54+D55+D56+D57+D59+D61</f>
        <v>300000</v>
      </c>
    </row>
    <row r="64" spans="1:4" ht="25.5">
      <c r="A64" s="291" t="s">
        <v>428</v>
      </c>
      <c r="B64" s="292" t="s">
        <v>429</v>
      </c>
      <c r="C64" s="293">
        <v>0</v>
      </c>
      <c r="D64" s="293">
        <v>0</v>
      </c>
    </row>
    <row r="65" spans="1:4" ht="25.5">
      <c r="A65" s="291" t="s">
        <v>430</v>
      </c>
      <c r="B65" s="292" t="s">
        <v>431</v>
      </c>
      <c r="C65" s="293">
        <v>0</v>
      </c>
      <c r="D65" s="293">
        <v>0</v>
      </c>
    </row>
    <row r="66" spans="1:4" ht="25.5">
      <c r="A66" s="291" t="s">
        <v>432</v>
      </c>
      <c r="B66" s="292" t="s">
        <v>433</v>
      </c>
      <c r="C66" s="293">
        <v>0</v>
      </c>
      <c r="D66" s="293">
        <v>0</v>
      </c>
    </row>
    <row r="67" spans="1:4" ht="25.5">
      <c r="A67" s="291" t="s">
        <v>434</v>
      </c>
      <c r="B67" s="292" t="s">
        <v>435</v>
      </c>
      <c r="C67" s="293">
        <v>0</v>
      </c>
      <c r="D67" s="293">
        <v>0</v>
      </c>
    </row>
    <row r="68" spans="1:4" ht="14.25">
      <c r="A68" s="291" t="s">
        <v>436</v>
      </c>
      <c r="B68" s="292" t="s">
        <v>437</v>
      </c>
      <c r="C68" s="293">
        <v>0</v>
      </c>
      <c r="D68" s="293">
        <v>0</v>
      </c>
    </row>
    <row r="69" spans="1:4" ht="14.25">
      <c r="A69" s="291" t="s">
        <v>438</v>
      </c>
      <c r="B69" s="292" t="s">
        <v>439</v>
      </c>
      <c r="C69" s="293">
        <v>0</v>
      </c>
      <c r="D69" s="293">
        <v>7632</v>
      </c>
    </row>
    <row r="70" spans="1:4" ht="14.25">
      <c r="A70" s="291" t="s">
        <v>440</v>
      </c>
      <c r="B70" s="292" t="s">
        <v>441</v>
      </c>
      <c r="C70" s="293">
        <v>0</v>
      </c>
      <c r="D70" s="293">
        <v>0</v>
      </c>
    </row>
    <row r="71" spans="1:4" ht="14.25">
      <c r="A71" s="291" t="s">
        <v>442</v>
      </c>
      <c r="B71" s="292" t="s">
        <v>443</v>
      </c>
      <c r="C71" s="293">
        <v>0</v>
      </c>
      <c r="D71" s="293">
        <v>0</v>
      </c>
    </row>
    <row r="72" spans="1:4" ht="25.5">
      <c r="A72" s="291" t="s">
        <v>444</v>
      </c>
      <c r="B72" s="292" t="s">
        <v>445</v>
      </c>
      <c r="C72" s="293">
        <v>0</v>
      </c>
      <c r="D72" s="293">
        <v>0</v>
      </c>
    </row>
    <row r="73" spans="1:4" ht="14.25">
      <c r="A73" s="291" t="s">
        <v>446</v>
      </c>
      <c r="B73" s="292" t="s">
        <v>447</v>
      </c>
      <c r="C73" s="293">
        <v>0</v>
      </c>
      <c r="D73" s="293">
        <v>0</v>
      </c>
    </row>
    <row r="74" spans="1:4" ht="25.5">
      <c r="A74" s="291" t="s">
        <v>448</v>
      </c>
      <c r="B74" s="292" t="s">
        <v>449</v>
      </c>
      <c r="C74" s="293">
        <v>0</v>
      </c>
      <c r="D74" s="293">
        <v>0</v>
      </c>
    </row>
    <row r="75" spans="1:4" ht="14.25">
      <c r="A75" s="291" t="s">
        <v>450</v>
      </c>
      <c r="B75" s="292" t="s">
        <v>451</v>
      </c>
      <c r="C75" s="293">
        <v>0</v>
      </c>
      <c r="D75" s="293">
        <v>0</v>
      </c>
    </row>
    <row r="76" spans="1:4" ht="25.5">
      <c r="A76" s="291" t="s">
        <v>452</v>
      </c>
      <c r="B76" s="292" t="s">
        <v>453</v>
      </c>
      <c r="C76" s="293">
        <v>0</v>
      </c>
      <c r="D76" s="293">
        <v>0</v>
      </c>
    </row>
    <row r="77" spans="1:4" ht="25.5">
      <c r="A77" s="294" t="s">
        <v>454</v>
      </c>
      <c r="B77" s="295" t="s">
        <v>455</v>
      </c>
      <c r="C77" s="296">
        <f>+C64+C66+C68+C69+C70+C71+C73+C75</f>
        <v>0</v>
      </c>
      <c r="D77" s="296">
        <f>+D64+D66+D68+D69+D70+D71+D73+D75</f>
        <v>7632</v>
      </c>
    </row>
    <row r="78" spans="1:4" ht="14.25">
      <c r="A78" s="291" t="s">
        <v>456</v>
      </c>
      <c r="B78" s="292" t="s">
        <v>457</v>
      </c>
      <c r="C78" s="293">
        <f>C79+C80+C81+C82+C83</f>
        <v>0</v>
      </c>
      <c r="D78" s="293">
        <f>D79+D80+D81+D82+D83</f>
        <v>20100</v>
      </c>
    </row>
    <row r="79" spans="1:4" ht="14.25">
      <c r="A79" s="291" t="s">
        <v>458</v>
      </c>
      <c r="B79" s="292" t="s">
        <v>459</v>
      </c>
      <c r="C79" s="293">
        <v>0</v>
      </c>
      <c r="D79" s="293">
        <v>0</v>
      </c>
    </row>
    <row r="80" spans="1:4" ht="14.25">
      <c r="A80" s="291" t="s">
        <v>460</v>
      </c>
      <c r="B80" s="292" t="s">
        <v>461</v>
      </c>
      <c r="C80" s="293">
        <v>0</v>
      </c>
      <c r="D80" s="293">
        <v>0</v>
      </c>
    </row>
    <row r="81" spans="1:4" ht="14.25">
      <c r="A81" s="291" t="s">
        <v>462</v>
      </c>
      <c r="B81" s="292" t="s">
        <v>463</v>
      </c>
      <c r="C81" s="293">
        <v>0</v>
      </c>
      <c r="D81" s="293">
        <v>20100</v>
      </c>
    </row>
    <row r="82" spans="1:4" ht="14.25">
      <c r="A82" s="291" t="s">
        <v>464</v>
      </c>
      <c r="B82" s="292" t="s">
        <v>465</v>
      </c>
      <c r="C82" s="293">
        <v>0</v>
      </c>
      <c r="D82" s="293">
        <v>0</v>
      </c>
    </row>
    <row r="83" spans="1:4" ht="14.25">
      <c r="A83" s="291" t="s">
        <v>466</v>
      </c>
      <c r="B83" s="292" t="s">
        <v>467</v>
      </c>
      <c r="C83" s="293">
        <v>0</v>
      </c>
      <c r="D83" s="293">
        <v>0</v>
      </c>
    </row>
    <row r="84" spans="1:4" ht="14.25">
      <c r="A84" s="291" t="s">
        <v>468</v>
      </c>
      <c r="B84" s="292" t="s">
        <v>469</v>
      </c>
      <c r="C84" s="293">
        <v>0</v>
      </c>
      <c r="D84" s="293">
        <v>0</v>
      </c>
    </row>
    <row r="85" spans="1:4" ht="14.25">
      <c r="A85" s="291" t="s">
        <v>470</v>
      </c>
      <c r="B85" s="292" t="s">
        <v>471</v>
      </c>
      <c r="C85" s="293">
        <v>0</v>
      </c>
      <c r="D85" s="293">
        <v>0</v>
      </c>
    </row>
    <row r="86" spans="1:4" ht="14.25">
      <c r="A86" s="291" t="s">
        <v>472</v>
      </c>
      <c r="B86" s="292" t="s">
        <v>473</v>
      </c>
      <c r="C86" s="293">
        <v>330000</v>
      </c>
      <c r="D86" s="293">
        <v>330000</v>
      </c>
    </row>
    <row r="87" spans="1:4" ht="14.25">
      <c r="A87" s="291" t="s">
        <v>474</v>
      </c>
      <c r="B87" s="292" t="s">
        <v>475</v>
      </c>
      <c r="C87" s="293">
        <v>0</v>
      </c>
      <c r="D87" s="293">
        <v>0</v>
      </c>
    </row>
    <row r="88" spans="1:4" ht="14.25">
      <c r="A88" s="291" t="s">
        <v>476</v>
      </c>
      <c r="B88" s="292" t="s">
        <v>477</v>
      </c>
      <c r="C88" s="293">
        <v>0</v>
      </c>
      <c r="D88" s="293">
        <v>0</v>
      </c>
    </row>
    <row r="89" spans="1:4" ht="14.25">
      <c r="A89" s="291" t="s">
        <v>478</v>
      </c>
      <c r="B89" s="292" t="s">
        <v>479</v>
      </c>
      <c r="C89" s="293">
        <v>0</v>
      </c>
      <c r="D89" s="293">
        <v>0</v>
      </c>
    </row>
    <row r="90" spans="1:4" ht="14.25">
      <c r="A90" s="294" t="s">
        <v>480</v>
      </c>
      <c r="B90" s="295" t="s">
        <v>481</v>
      </c>
      <c r="C90" s="296">
        <f>+C78+C84+C85+C86+C87+C88+C89</f>
        <v>330000</v>
      </c>
      <c r="D90" s="296">
        <f>+D78+D84+D85+D86+D87+D88+D89</f>
        <v>350100</v>
      </c>
    </row>
    <row r="91" spans="1:4" ht="14.25">
      <c r="A91" s="294" t="s">
        <v>482</v>
      </c>
      <c r="B91" s="295" t="s">
        <v>483</v>
      </c>
      <c r="C91" s="296">
        <f>+C63+C77+C90</f>
        <v>630000</v>
      </c>
      <c r="D91" s="296">
        <f>+D63+D77+D90</f>
        <v>657732</v>
      </c>
    </row>
    <row r="92" spans="1:4" ht="14.25">
      <c r="A92" s="294" t="s">
        <v>484</v>
      </c>
      <c r="B92" s="295" t="s">
        <v>485</v>
      </c>
      <c r="C92" s="296">
        <v>4962</v>
      </c>
      <c r="D92" s="296">
        <f>2670215+43200</f>
        <v>2713415</v>
      </c>
    </row>
    <row r="93" spans="1:4" ht="14.25">
      <c r="A93" s="291" t="s">
        <v>486</v>
      </c>
      <c r="B93" s="292" t="s">
        <v>487</v>
      </c>
      <c r="C93" s="293">
        <v>0</v>
      </c>
      <c r="D93" s="293">
        <v>0</v>
      </c>
    </row>
    <row r="94" spans="1:4" ht="14.25">
      <c r="A94" s="291" t="s">
        <v>488</v>
      </c>
      <c r="B94" s="292" t="s">
        <v>489</v>
      </c>
      <c r="C94" s="293">
        <v>0</v>
      </c>
      <c r="D94" s="293">
        <v>0</v>
      </c>
    </row>
    <row r="95" spans="1:4" ht="14.25">
      <c r="A95" s="291" t="s">
        <v>490</v>
      </c>
      <c r="B95" s="292" t="s">
        <v>491</v>
      </c>
      <c r="C95" s="293">
        <v>0</v>
      </c>
      <c r="D95" s="293">
        <v>0</v>
      </c>
    </row>
    <row r="96" spans="1:4" ht="15" thickBot="1">
      <c r="A96" s="297" t="s">
        <v>492</v>
      </c>
      <c r="B96" s="298" t="s">
        <v>493</v>
      </c>
      <c r="C96" s="299">
        <f>SUM(C93:C95)</f>
        <v>0</v>
      </c>
      <c r="D96" s="299">
        <f>SUM(D93:D95)</f>
        <v>0</v>
      </c>
    </row>
    <row r="97" spans="1:6" ht="15" thickBot="1">
      <c r="A97" s="283" t="s">
        <v>494</v>
      </c>
      <c r="B97" s="300" t="s">
        <v>495</v>
      </c>
      <c r="C97" s="301">
        <f>+C28+C43+C49+C91+C92+C96</f>
        <v>1032482578</v>
      </c>
      <c r="D97" s="301">
        <f>+D28+D43+D49+D91+D92+D96</f>
        <v>1064657554</v>
      </c>
      <c r="F97" s="302"/>
    </row>
    <row r="98" spans="1:4" ht="14.25">
      <c r="A98" s="288" t="s">
        <v>312</v>
      </c>
      <c r="B98" s="289" t="s">
        <v>496</v>
      </c>
      <c r="C98" s="290"/>
      <c r="D98" s="290"/>
    </row>
    <row r="99" spans="1:4" ht="19.5" customHeight="1">
      <c r="A99" s="291" t="s">
        <v>497</v>
      </c>
      <c r="B99" s="292" t="s">
        <v>498</v>
      </c>
      <c r="C99" s="293">
        <f>138123633+14913286</f>
        <v>153036919</v>
      </c>
      <c r="D99" s="293">
        <f>138123633+14913286</f>
        <v>153036919</v>
      </c>
    </row>
    <row r="100" spans="1:4" ht="14.25">
      <c r="A100" s="291" t="s">
        <v>499</v>
      </c>
      <c r="B100" s="292" t="s">
        <v>500</v>
      </c>
      <c r="C100" s="293"/>
      <c r="D100" s="293">
        <v>0</v>
      </c>
    </row>
    <row r="101" spans="1:4" ht="14.25" customHeight="1">
      <c r="A101" s="291" t="s">
        <v>501</v>
      </c>
      <c r="B101" s="292" t="s">
        <v>502</v>
      </c>
      <c r="C101" s="293">
        <f>335935633+17558750</f>
        <v>353494383</v>
      </c>
      <c r="D101" s="293">
        <f>335935633+17558750</f>
        <v>353494383</v>
      </c>
    </row>
    <row r="102" spans="1:4" ht="14.25">
      <c r="A102" s="291" t="s">
        <v>503</v>
      </c>
      <c r="B102" s="292" t="s">
        <v>504</v>
      </c>
      <c r="C102" s="293">
        <f>-3665296-189513134</f>
        <v>-193178430</v>
      </c>
      <c r="D102" s="293">
        <f>-202324122-12320082</f>
        <v>-214644204</v>
      </c>
    </row>
    <row r="103" spans="1:4" ht="14.25">
      <c r="A103" s="291" t="s">
        <v>505</v>
      </c>
      <c r="B103" s="292" t="s">
        <v>506</v>
      </c>
      <c r="C103" s="293">
        <v>0</v>
      </c>
      <c r="D103" s="293">
        <v>0</v>
      </c>
    </row>
    <row r="104" spans="1:4" ht="14.25">
      <c r="A104" s="291" t="s">
        <v>507</v>
      </c>
      <c r="B104" s="292" t="s">
        <v>508</v>
      </c>
      <c r="C104" s="293">
        <f>-8654786-12810988</f>
        <v>-21465774</v>
      </c>
      <c r="D104" s="293">
        <f>153761799-16499281</f>
        <v>137262518</v>
      </c>
    </row>
    <row r="105" spans="1:4" ht="14.25">
      <c r="A105" s="294" t="s">
        <v>509</v>
      </c>
      <c r="B105" s="295" t="s">
        <v>510</v>
      </c>
      <c r="C105" s="296">
        <f>SUM(C99:C104)</f>
        <v>291887098</v>
      </c>
      <c r="D105" s="296">
        <f>SUM(D99:D104)</f>
        <v>429149616</v>
      </c>
    </row>
    <row r="106" spans="1:4" ht="14.25">
      <c r="A106" s="291" t="s">
        <v>511</v>
      </c>
      <c r="B106" s="292" t="s">
        <v>512</v>
      </c>
      <c r="C106" s="293">
        <v>0</v>
      </c>
      <c r="D106" s="293">
        <v>0</v>
      </c>
    </row>
    <row r="107" spans="1:4" ht="20.25" customHeight="1">
      <c r="A107" s="291" t="s">
        <v>513</v>
      </c>
      <c r="B107" s="292" t="s">
        <v>514</v>
      </c>
      <c r="C107" s="293">
        <v>0</v>
      </c>
      <c r="D107" s="293">
        <v>0</v>
      </c>
    </row>
    <row r="108" spans="1:4" ht="14.25" customHeight="1">
      <c r="A108" s="291" t="s">
        <v>515</v>
      </c>
      <c r="B108" s="292" t="s">
        <v>516</v>
      </c>
      <c r="C108" s="293">
        <f>566124+2239253</f>
        <v>2805377</v>
      </c>
      <c r="D108" s="293">
        <f>2825193+60570</f>
        <v>2885763</v>
      </c>
    </row>
    <row r="109" spans="1:4" ht="14.25">
      <c r="A109" s="291" t="s">
        <v>517</v>
      </c>
      <c r="B109" s="292" t="s">
        <v>518</v>
      </c>
      <c r="C109" s="293">
        <v>0</v>
      </c>
      <c r="D109" s="293">
        <v>0</v>
      </c>
    </row>
    <row r="110" spans="1:4" ht="14.25">
      <c r="A110" s="291" t="s">
        <v>519</v>
      </c>
      <c r="B110" s="292" t="s">
        <v>520</v>
      </c>
      <c r="C110" s="293">
        <v>0</v>
      </c>
      <c r="D110" s="293">
        <v>0</v>
      </c>
    </row>
    <row r="111" spans="1:4" ht="25.5">
      <c r="A111" s="291" t="s">
        <v>521</v>
      </c>
      <c r="B111" s="292" t="s">
        <v>522</v>
      </c>
      <c r="C111" s="293">
        <v>0</v>
      </c>
      <c r="D111" s="293">
        <v>0</v>
      </c>
    </row>
    <row r="112" spans="1:4" ht="14.25">
      <c r="A112" s="291" t="s">
        <v>523</v>
      </c>
      <c r="B112" s="292" t="s">
        <v>524</v>
      </c>
      <c r="C112" s="293">
        <v>0</v>
      </c>
      <c r="D112" s="293">
        <f>757238+2750000</f>
        <v>3507238</v>
      </c>
    </row>
    <row r="113" spans="1:4" ht="14.25">
      <c r="A113" s="291" t="s">
        <v>525</v>
      </c>
      <c r="B113" s="292" t="s">
        <v>526</v>
      </c>
      <c r="C113" s="293">
        <v>0</v>
      </c>
      <c r="D113" s="293">
        <v>0</v>
      </c>
    </row>
    <row r="114" spans="1:4" ht="14.25">
      <c r="A114" s="291" t="s">
        <v>527</v>
      </c>
      <c r="B114" s="292" t="s">
        <v>528</v>
      </c>
      <c r="C114" s="293">
        <v>0</v>
      </c>
      <c r="D114" s="293">
        <v>0</v>
      </c>
    </row>
    <row r="115" spans="1:4" ht="25.5">
      <c r="A115" s="291" t="s">
        <v>529</v>
      </c>
      <c r="B115" s="292" t="s">
        <v>530</v>
      </c>
      <c r="C115" s="293">
        <v>0</v>
      </c>
      <c r="D115" s="293">
        <v>0</v>
      </c>
    </row>
    <row r="116" spans="1:4" ht="14.25">
      <c r="A116" s="291" t="s">
        <v>531</v>
      </c>
      <c r="B116" s="292" t="s">
        <v>532</v>
      </c>
      <c r="C116" s="293">
        <v>0</v>
      </c>
      <c r="D116" s="293">
        <v>0</v>
      </c>
    </row>
    <row r="117" spans="1:4" ht="25.5">
      <c r="A117" s="291" t="s">
        <v>533</v>
      </c>
      <c r="B117" s="292" t="s">
        <v>534</v>
      </c>
      <c r="C117" s="293">
        <v>0</v>
      </c>
      <c r="D117" s="293">
        <v>0</v>
      </c>
    </row>
    <row r="118" spans="1:4" ht="25.5">
      <c r="A118" s="291" t="s">
        <v>535</v>
      </c>
      <c r="B118" s="292" t="s">
        <v>536</v>
      </c>
      <c r="C118" s="293">
        <v>0</v>
      </c>
      <c r="D118" s="293">
        <v>0</v>
      </c>
    </row>
    <row r="119" spans="1:4" ht="25.5">
      <c r="A119" s="291" t="s">
        <v>537</v>
      </c>
      <c r="B119" s="292" t="s">
        <v>538</v>
      </c>
      <c r="C119" s="293">
        <v>0</v>
      </c>
      <c r="D119" s="293">
        <v>0</v>
      </c>
    </row>
    <row r="120" spans="1:4" ht="14.25">
      <c r="A120" s="291" t="s">
        <v>539</v>
      </c>
      <c r="B120" s="292" t="s">
        <v>540</v>
      </c>
      <c r="C120" s="293">
        <v>0</v>
      </c>
      <c r="D120" s="293">
        <v>0</v>
      </c>
    </row>
    <row r="121" spans="1:4" ht="14.25">
      <c r="A121" s="291" t="s">
        <v>541</v>
      </c>
      <c r="B121" s="292" t="s">
        <v>542</v>
      </c>
      <c r="C121" s="293">
        <v>0</v>
      </c>
      <c r="D121" s="293">
        <v>0</v>
      </c>
    </row>
    <row r="122" spans="1:4" ht="14.25">
      <c r="A122" s="291" t="s">
        <v>543</v>
      </c>
      <c r="B122" s="292" t="s">
        <v>544</v>
      </c>
      <c r="C122" s="293">
        <v>0</v>
      </c>
      <c r="D122" s="293">
        <v>0</v>
      </c>
    </row>
    <row r="123" spans="1:4" ht="25.5">
      <c r="A123" s="291" t="s">
        <v>545</v>
      </c>
      <c r="B123" s="292" t="s">
        <v>546</v>
      </c>
      <c r="C123" s="293">
        <v>0</v>
      </c>
      <c r="D123" s="293">
        <v>0</v>
      </c>
    </row>
    <row r="124" spans="1:4" ht="14.25">
      <c r="A124" s="291" t="s">
        <v>547</v>
      </c>
      <c r="B124" s="292" t="s">
        <v>548</v>
      </c>
      <c r="C124" s="293">
        <v>0</v>
      </c>
      <c r="D124" s="293">
        <v>0</v>
      </c>
    </row>
    <row r="125" spans="1:4" ht="14.25">
      <c r="A125" s="294" t="s">
        <v>549</v>
      </c>
      <c r="B125" s="295" t="s">
        <v>550</v>
      </c>
      <c r="C125" s="296">
        <f>+C106+C107+C108+C109+C110+C112+C113+C114+C116</f>
        <v>2805377</v>
      </c>
      <c r="D125" s="296">
        <f>+D106+D107+D108+D109+D110+D112+D113+D114+D116</f>
        <v>6393001</v>
      </c>
    </row>
    <row r="126" spans="1:4" ht="14.25">
      <c r="A126" s="291" t="s">
        <v>551</v>
      </c>
      <c r="B126" s="292" t="s">
        <v>552</v>
      </c>
      <c r="C126" s="293">
        <v>210000</v>
      </c>
      <c r="D126" s="293">
        <v>0</v>
      </c>
    </row>
    <row r="127" spans="1:4" ht="25.5">
      <c r="A127" s="291" t="s">
        <v>553</v>
      </c>
      <c r="B127" s="292" t="s">
        <v>554</v>
      </c>
      <c r="C127" s="293">
        <v>0</v>
      </c>
      <c r="D127" s="293">
        <v>0</v>
      </c>
    </row>
    <row r="128" spans="1:4" ht="14.25">
      <c r="A128" s="291" t="s">
        <v>555</v>
      </c>
      <c r="B128" s="292" t="s">
        <v>556</v>
      </c>
      <c r="C128" s="293">
        <v>0</v>
      </c>
      <c r="D128" s="293">
        <v>0</v>
      </c>
    </row>
    <row r="129" spans="1:4" ht="14.25">
      <c r="A129" s="291" t="s">
        <v>557</v>
      </c>
      <c r="B129" s="292" t="s">
        <v>558</v>
      </c>
      <c r="C129" s="293">
        <v>0</v>
      </c>
      <c r="D129" s="293">
        <v>0</v>
      </c>
    </row>
    <row r="130" spans="1:4" ht="14.25">
      <c r="A130" s="291" t="s">
        <v>559</v>
      </c>
      <c r="B130" s="292" t="s">
        <v>560</v>
      </c>
      <c r="C130" s="293">
        <v>0</v>
      </c>
      <c r="D130" s="293">
        <v>0</v>
      </c>
    </row>
    <row r="131" spans="1:4" ht="25.5">
      <c r="A131" s="291" t="s">
        <v>561</v>
      </c>
      <c r="B131" s="292" t="s">
        <v>562</v>
      </c>
      <c r="C131" s="293">
        <v>0</v>
      </c>
      <c r="D131" s="293">
        <v>0</v>
      </c>
    </row>
    <row r="132" spans="1:4" ht="14.25">
      <c r="A132" s="291" t="s">
        <v>563</v>
      </c>
      <c r="B132" s="292" t="s">
        <v>564</v>
      </c>
      <c r="C132" s="293">
        <v>0</v>
      </c>
      <c r="D132" s="293">
        <v>0</v>
      </c>
    </row>
    <row r="133" spans="1:4" ht="14.25">
      <c r="A133" s="291" t="s">
        <v>565</v>
      </c>
      <c r="B133" s="292" t="s">
        <v>566</v>
      </c>
      <c r="C133" s="293">
        <v>0</v>
      </c>
      <c r="D133" s="293">
        <v>0</v>
      </c>
    </row>
    <row r="134" spans="1:4" ht="25.5">
      <c r="A134" s="291" t="s">
        <v>567</v>
      </c>
      <c r="B134" s="292" t="s">
        <v>568</v>
      </c>
      <c r="C134" s="293">
        <v>0</v>
      </c>
      <c r="D134" s="293">
        <v>0</v>
      </c>
    </row>
    <row r="135" spans="1:4" ht="25.5">
      <c r="A135" s="291" t="s">
        <v>569</v>
      </c>
      <c r="B135" s="292" t="s">
        <v>570</v>
      </c>
      <c r="C135" s="293">
        <v>0</v>
      </c>
      <c r="D135" s="293">
        <v>0</v>
      </c>
    </row>
    <row r="136" spans="1:4" ht="14.25">
      <c r="A136" s="291" t="s">
        <v>571</v>
      </c>
      <c r="B136" s="292" t="s">
        <v>572</v>
      </c>
      <c r="C136" s="293">
        <f>C137</f>
        <v>11220000</v>
      </c>
      <c r="D136" s="293">
        <f>D137</f>
        <v>11220000</v>
      </c>
    </row>
    <row r="137" spans="1:4" ht="25.5">
      <c r="A137" s="291" t="s">
        <v>573</v>
      </c>
      <c r="B137" s="292" t="s">
        <v>574</v>
      </c>
      <c r="C137" s="293">
        <v>11220000</v>
      </c>
      <c r="D137" s="293">
        <v>11220000</v>
      </c>
    </row>
    <row r="138" spans="1:4" ht="25.5">
      <c r="A138" s="291" t="s">
        <v>575</v>
      </c>
      <c r="B138" s="292" t="s">
        <v>576</v>
      </c>
      <c r="C138" s="293">
        <v>0</v>
      </c>
      <c r="D138" s="293">
        <v>0</v>
      </c>
    </row>
    <row r="139" spans="1:4" ht="25.5">
      <c r="A139" s="291" t="s">
        <v>577</v>
      </c>
      <c r="B139" s="292" t="s">
        <v>578</v>
      </c>
      <c r="C139" s="293">
        <v>0</v>
      </c>
      <c r="D139" s="293">
        <v>0</v>
      </c>
    </row>
    <row r="140" spans="1:4" ht="25.5">
      <c r="A140" s="291" t="s">
        <v>579</v>
      </c>
      <c r="B140" s="292" t="s">
        <v>580</v>
      </c>
      <c r="C140" s="293">
        <v>0</v>
      </c>
      <c r="D140" s="293">
        <v>0</v>
      </c>
    </row>
    <row r="141" spans="1:4" ht="25.5">
      <c r="A141" s="291" t="s">
        <v>581</v>
      </c>
      <c r="B141" s="292" t="s">
        <v>582</v>
      </c>
      <c r="C141" s="293">
        <v>0</v>
      </c>
      <c r="D141" s="293">
        <v>0</v>
      </c>
    </row>
    <row r="142" spans="1:4" ht="25.5">
      <c r="A142" s="291" t="s">
        <v>583</v>
      </c>
      <c r="B142" s="292" t="s">
        <v>584</v>
      </c>
      <c r="C142" s="293">
        <v>0</v>
      </c>
      <c r="D142" s="293">
        <v>0</v>
      </c>
    </row>
    <row r="143" spans="1:4" ht="25.5">
      <c r="A143" s="291" t="s">
        <v>585</v>
      </c>
      <c r="B143" s="292" t="s">
        <v>586</v>
      </c>
      <c r="C143" s="293">
        <v>0</v>
      </c>
      <c r="D143" s="293">
        <v>0</v>
      </c>
    </row>
    <row r="144" spans="1:4" ht="14.25">
      <c r="A144" s="291" t="s">
        <v>587</v>
      </c>
      <c r="B144" s="292" t="s">
        <v>588</v>
      </c>
      <c r="C144" s="293">
        <v>0</v>
      </c>
      <c r="D144" s="293">
        <v>0</v>
      </c>
    </row>
    <row r="145" spans="1:4" ht="25.5">
      <c r="A145" s="294" t="s">
        <v>589</v>
      </c>
      <c r="B145" s="295" t="s">
        <v>590</v>
      </c>
      <c r="C145" s="296">
        <f>+C126+C127+C128+C129+C130+C132+C133+C134+C136</f>
        <v>11430000</v>
      </c>
      <c r="D145" s="296">
        <f>+D126+D127+D128+D129+D130+D132+D133+D134+D136</f>
        <v>11220000</v>
      </c>
    </row>
    <row r="146" spans="1:4" ht="14.25">
      <c r="A146" s="291" t="s">
        <v>591</v>
      </c>
      <c r="B146" s="292" t="s">
        <v>592</v>
      </c>
      <c r="C146" s="293">
        <v>0</v>
      </c>
      <c r="D146" s="293">
        <v>0</v>
      </c>
    </row>
    <row r="147" spans="1:4" ht="14.25">
      <c r="A147" s="291" t="s">
        <v>593</v>
      </c>
      <c r="B147" s="292" t="s">
        <v>594</v>
      </c>
      <c r="C147" s="293">
        <v>0</v>
      </c>
      <c r="D147" s="293">
        <v>0</v>
      </c>
    </row>
    <row r="148" spans="1:4" ht="14.25">
      <c r="A148" s="291" t="s">
        <v>595</v>
      </c>
      <c r="B148" s="292" t="s">
        <v>596</v>
      </c>
      <c r="C148" s="293">
        <v>0</v>
      </c>
      <c r="D148" s="293">
        <v>0</v>
      </c>
    </row>
    <row r="149" spans="1:4" ht="14.25">
      <c r="A149" s="291" t="s">
        <v>597</v>
      </c>
      <c r="B149" s="292" t="s">
        <v>598</v>
      </c>
      <c r="C149" s="293">
        <v>0</v>
      </c>
      <c r="D149" s="293">
        <v>0</v>
      </c>
    </row>
    <row r="150" spans="1:4" ht="14.25">
      <c r="A150" s="291" t="s">
        <v>599</v>
      </c>
      <c r="B150" s="292" t="s">
        <v>600</v>
      </c>
      <c r="C150" s="293">
        <v>0</v>
      </c>
      <c r="D150" s="293">
        <v>0</v>
      </c>
    </row>
    <row r="151" spans="1:4" ht="14.25">
      <c r="A151" s="291" t="s">
        <v>601</v>
      </c>
      <c r="B151" s="292" t="s">
        <v>602</v>
      </c>
      <c r="C151" s="293">
        <v>0</v>
      </c>
      <c r="D151" s="293">
        <v>0</v>
      </c>
    </row>
    <row r="152" spans="1:4" ht="14.25">
      <c r="A152" s="291" t="s">
        <v>603</v>
      </c>
      <c r="B152" s="292" t="s">
        <v>604</v>
      </c>
      <c r="C152" s="293">
        <v>0</v>
      </c>
      <c r="D152" s="293">
        <v>0</v>
      </c>
    </row>
    <row r="153" spans="1:4" ht="14.25">
      <c r="A153" s="294">
        <v>146</v>
      </c>
      <c r="B153" s="295" t="s">
        <v>605</v>
      </c>
      <c r="C153" s="296">
        <f>SUM(C146:C152)</f>
        <v>0</v>
      </c>
      <c r="D153" s="296">
        <f>SUM(D146:D152)</f>
        <v>0</v>
      </c>
    </row>
    <row r="154" spans="1:4" ht="14.25">
      <c r="A154" s="294" t="s">
        <v>606</v>
      </c>
      <c r="B154" s="295" t="s">
        <v>607</v>
      </c>
      <c r="C154" s="296">
        <f>+C125+C145+C153</f>
        <v>14235377</v>
      </c>
      <c r="D154" s="296">
        <f>+D125+D145+D153</f>
        <v>17613001</v>
      </c>
    </row>
    <row r="155" spans="1:4" ht="14.25">
      <c r="A155" s="294" t="s">
        <v>608</v>
      </c>
      <c r="B155" s="295" t="s">
        <v>609</v>
      </c>
      <c r="C155" s="296">
        <v>0</v>
      </c>
      <c r="D155" s="296">
        <v>0</v>
      </c>
    </row>
    <row r="156" spans="1:4" ht="14.25">
      <c r="A156" s="294" t="s">
        <v>610</v>
      </c>
      <c r="B156" s="295" t="s">
        <v>611</v>
      </c>
      <c r="C156" s="296">
        <v>0</v>
      </c>
      <c r="D156" s="296">
        <v>0</v>
      </c>
    </row>
    <row r="157" spans="1:4" ht="14.25">
      <c r="A157" s="291" t="s">
        <v>612</v>
      </c>
      <c r="B157" s="292" t="s">
        <v>613</v>
      </c>
      <c r="C157" s="293">
        <f>268113155+282033981</f>
        <v>550147136</v>
      </c>
      <c r="D157" s="293">
        <f>221711327+218985277</f>
        <v>440696604</v>
      </c>
    </row>
    <row r="158" spans="1:4" ht="14.25">
      <c r="A158" s="291" t="s">
        <v>614</v>
      </c>
      <c r="B158" s="292" t="s">
        <v>615</v>
      </c>
      <c r="C158" s="293">
        <f>14750118+12343975</f>
        <v>27094093</v>
      </c>
      <c r="D158" s="293">
        <f>10623828+17455631</f>
        <v>28079459</v>
      </c>
    </row>
    <row r="159" spans="1:4" ht="14.25">
      <c r="A159" s="291" t="s">
        <v>616</v>
      </c>
      <c r="B159" s="292" t="s">
        <v>617</v>
      </c>
      <c r="C159" s="293">
        <v>149118874</v>
      </c>
      <c r="D159" s="293">
        <v>149118874</v>
      </c>
    </row>
    <row r="160" spans="1:4" ht="15" thickBot="1">
      <c r="A160" s="297" t="s">
        <v>618</v>
      </c>
      <c r="B160" s="298" t="s">
        <v>619</v>
      </c>
      <c r="C160" s="299">
        <f>SUM(C157:C159)</f>
        <v>726360103</v>
      </c>
      <c r="D160" s="299">
        <f>SUM(D157:D159)</f>
        <v>617894937</v>
      </c>
    </row>
    <row r="161" spans="1:6" ht="15" thickBot="1">
      <c r="A161" s="283" t="s">
        <v>620</v>
      </c>
      <c r="B161" s="300" t="s">
        <v>621</v>
      </c>
      <c r="C161" s="301">
        <f>+C105+C154+C155+C156+C160</f>
        <v>1032482578</v>
      </c>
      <c r="D161" s="301">
        <f>+D105+D154+D155+D156+D160</f>
        <v>1064657554</v>
      </c>
      <c r="F161" s="303">
        <f>+D161/C161</f>
        <v>1.031162730186039</v>
      </c>
    </row>
  </sheetData>
  <sheetProtection/>
  <mergeCells count="2">
    <mergeCell ref="B1:D1"/>
    <mergeCell ref="A2:D2"/>
  </mergeCells>
  <printOptions horizontalCentered="1"/>
  <pageMargins left="0.1968503937007874" right="0.31496062992125984" top="0.5511811023622047" bottom="0.5511811023622047" header="0.31496062992125984" footer="0.31496062992125984"/>
  <pageSetup fitToHeight="5" fitToWidth="1" horizontalDpi="600" verticalDpi="600" orientation="portrait" paperSize="9" scale="77" r:id="rId1"/>
  <rowBreaks count="1" manualBreakCount="1">
    <brk id="9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view="pageBreakPreview" zoomScale="85" zoomScaleSheetLayoutView="85" zoomScalePageLayoutView="0" workbookViewId="0" topLeftCell="A49">
      <selection activeCell="A2" sqref="A2:G3"/>
    </sheetView>
  </sheetViews>
  <sheetFormatPr defaultColWidth="9.140625" defaultRowHeight="15"/>
  <cols>
    <col min="1" max="1" width="7.28125" style="278" customWidth="1"/>
    <col min="2" max="2" width="52.7109375" style="278" customWidth="1"/>
    <col min="3" max="3" width="14.00390625" style="278" customWidth="1"/>
    <col min="4" max="5" width="12.00390625" style="278" customWidth="1"/>
    <col min="6" max="6" width="12.8515625" style="302" customWidth="1"/>
    <col min="7" max="7" width="13.28125" style="302" customWidth="1"/>
    <col min="8" max="16384" width="9.140625" style="278" customWidth="1"/>
  </cols>
  <sheetData>
    <row r="1" spans="2:7" ht="15">
      <c r="B1" s="669" t="s">
        <v>905</v>
      </c>
      <c r="C1" s="669"/>
      <c r="D1" s="669"/>
      <c r="E1" s="669"/>
      <c r="F1" s="669"/>
      <c r="G1" s="669"/>
    </row>
    <row r="2" spans="1:9" ht="18">
      <c r="A2" s="684" t="s">
        <v>865</v>
      </c>
      <c r="B2" s="684"/>
      <c r="C2" s="684"/>
      <c r="D2" s="684"/>
      <c r="E2" s="684"/>
      <c r="F2" s="684"/>
      <c r="G2" s="684"/>
      <c r="H2" s="304"/>
      <c r="I2" s="304"/>
    </row>
    <row r="3" spans="1:9" ht="18">
      <c r="A3" s="684"/>
      <c r="B3" s="684"/>
      <c r="C3" s="684"/>
      <c r="D3" s="684"/>
      <c r="E3" s="684"/>
      <c r="F3" s="684"/>
      <c r="G3" s="684"/>
      <c r="H3" s="304"/>
      <c r="I3" s="304"/>
    </row>
    <row r="4" spans="1:9" ht="18.75" thickBot="1">
      <c r="A4" s="305"/>
      <c r="B4" s="305"/>
      <c r="C4" s="305"/>
      <c r="D4" s="305"/>
      <c r="E4" s="305"/>
      <c r="F4" s="306"/>
      <c r="G4" s="307" t="s">
        <v>216</v>
      </c>
      <c r="H4" s="305"/>
      <c r="I4" s="305"/>
    </row>
    <row r="5" spans="1:7" ht="72">
      <c r="A5" s="308"/>
      <c r="B5" s="309" t="s">
        <v>313</v>
      </c>
      <c r="C5" s="310" t="s">
        <v>622</v>
      </c>
      <c r="D5" s="310" t="s">
        <v>623</v>
      </c>
      <c r="E5" s="310" t="s">
        <v>624</v>
      </c>
      <c r="F5" s="311" t="s">
        <v>625</v>
      </c>
      <c r="G5" s="312" t="s">
        <v>626</v>
      </c>
    </row>
    <row r="6" spans="1:7" ht="15" customHeight="1">
      <c r="A6" s="313"/>
      <c r="B6" s="314"/>
      <c r="C6" s="685" t="s">
        <v>627</v>
      </c>
      <c r="D6" s="686"/>
      <c r="E6" s="686"/>
      <c r="F6" s="686"/>
      <c r="G6" s="687"/>
    </row>
    <row r="7" spans="1:7" ht="15" customHeight="1">
      <c r="A7" s="315" t="s">
        <v>628</v>
      </c>
      <c r="B7" s="316" t="s">
        <v>629</v>
      </c>
      <c r="C7" s="317"/>
      <c r="D7" s="318"/>
      <c r="E7" s="317"/>
      <c r="F7" s="318"/>
      <c r="G7" s="319"/>
    </row>
    <row r="8" spans="1:7" ht="15" customHeight="1">
      <c r="A8" s="315" t="s">
        <v>630</v>
      </c>
      <c r="B8" s="316" t="s">
        <v>631</v>
      </c>
      <c r="C8" s="317"/>
      <c r="D8" s="318"/>
      <c r="E8" s="317"/>
      <c r="F8" s="318">
        <f>'1.sz.mell_Vagyonmérleg 2020.'!D8</f>
        <v>41869353</v>
      </c>
      <c r="G8" s="319">
        <f>162687064+938316</f>
        <v>163625380</v>
      </c>
    </row>
    <row r="9" spans="1:7" ht="15" customHeight="1">
      <c r="A9" s="315" t="s">
        <v>632</v>
      </c>
      <c r="B9" s="316" t="s">
        <v>633</v>
      </c>
      <c r="C9" s="317">
        <v>149118874</v>
      </c>
      <c r="D9" s="318"/>
      <c r="E9" s="317"/>
      <c r="F9" s="318">
        <f>'1.sz.mell_Vagyonmérleg 2020.'!D11-C9</f>
        <v>9262358</v>
      </c>
      <c r="G9" s="319"/>
    </row>
    <row r="10" spans="1:7" ht="15" customHeight="1">
      <c r="A10" s="315" t="s">
        <v>634</v>
      </c>
      <c r="B10" s="316" t="s">
        <v>635</v>
      </c>
      <c r="C10" s="317"/>
      <c r="D10" s="318"/>
      <c r="E10" s="317"/>
      <c r="F10" s="318">
        <f>'1.sz.mell_Vagyonmérleg 2020.'!D12</f>
        <v>43979406</v>
      </c>
      <c r="G10" s="319">
        <f>3427055+1811320+11278198+13497327+16938116+1005000+13073431+3766612+1031380+6283753</f>
        <v>72112192</v>
      </c>
    </row>
    <row r="11" spans="1:7" ht="15" customHeight="1">
      <c r="A11" s="315" t="s">
        <v>636</v>
      </c>
      <c r="B11" s="316" t="s">
        <v>637</v>
      </c>
      <c r="C11" s="317"/>
      <c r="D11" s="318"/>
      <c r="E11" s="317"/>
      <c r="F11" s="318"/>
      <c r="G11" s="319"/>
    </row>
    <row r="12" spans="1:7" ht="15" customHeight="1">
      <c r="A12" s="315" t="s">
        <v>638</v>
      </c>
      <c r="B12" s="316" t="s">
        <v>639</v>
      </c>
      <c r="C12" s="317"/>
      <c r="D12" s="318"/>
      <c r="E12" s="317"/>
      <c r="F12" s="318">
        <f>'1.sz.mell_Vagyonmérleg 2020.'!D14</f>
        <v>311994571</v>
      </c>
      <c r="G12" s="319"/>
    </row>
    <row r="13" spans="1:7" ht="15" customHeight="1">
      <c r="A13" s="315" t="s">
        <v>640</v>
      </c>
      <c r="B13" s="316" t="s">
        <v>641</v>
      </c>
      <c r="C13" s="317"/>
      <c r="D13" s="318"/>
      <c r="E13" s="317"/>
      <c r="F13" s="318"/>
      <c r="G13" s="319"/>
    </row>
    <row r="14" spans="1:7" ht="15" customHeight="1">
      <c r="A14" s="315" t="s">
        <v>642</v>
      </c>
      <c r="B14" s="316" t="s">
        <v>643</v>
      </c>
      <c r="C14" s="320">
        <f>SUM(C9:C13)</f>
        <v>149118874</v>
      </c>
      <c r="D14" s="320">
        <f>SUM(D9:D13)</f>
        <v>0</v>
      </c>
      <c r="E14" s="320">
        <f>SUM(E9:E13)</f>
        <v>0</v>
      </c>
      <c r="F14" s="320">
        <f>'1.sz.mell_Vagyonmérleg 2020.'!D16</f>
        <v>514355209</v>
      </c>
      <c r="G14" s="317">
        <f>SUM(G9:G13)</f>
        <v>72112192</v>
      </c>
    </row>
    <row r="15" spans="1:7" ht="15" customHeight="1">
      <c r="A15" s="315" t="s">
        <v>644</v>
      </c>
      <c r="B15" s="316" t="s">
        <v>645</v>
      </c>
      <c r="C15" s="317"/>
      <c r="D15" s="318"/>
      <c r="E15" s="317"/>
      <c r="F15" s="318">
        <v>1400000</v>
      </c>
      <c r="G15" s="319"/>
    </row>
    <row r="16" spans="1:7" ht="15" customHeight="1">
      <c r="A16" s="315" t="s">
        <v>646</v>
      </c>
      <c r="B16" s="316" t="s">
        <v>647</v>
      </c>
      <c r="C16" s="317"/>
      <c r="D16" s="318"/>
      <c r="E16" s="317"/>
      <c r="F16" s="318"/>
      <c r="G16" s="319"/>
    </row>
    <row r="17" spans="1:7" ht="15" customHeight="1">
      <c r="A17" s="315" t="s">
        <v>648</v>
      </c>
      <c r="B17" s="316" t="s">
        <v>649</v>
      </c>
      <c r="C17" s="317"/>
      <c r="D17" s="318"/>
      <c r="E17" s="317"/>
      <c r="F17" s="318"/>
      <c r="G17" s="319"/>
    </row>
    <row r="18" spans="1:7" ht="15" customHeight="1">
      <c r="A18" s="315" t="s">
        <v>650</v>
      </c>
      <c r="B18" s="316" t="s">
        <v>651</v>
      </c>
      <c r="C18" s="317">
        <f>SUM(C15:C17)</f>
        <v>0</v>
      </c>
      <c r="D18" s="317">
        <f>SUM(D15:D17)</f>
        <v>0</v>
      </c>
      <c r="E18" s="317">
        <f>SUM(E15:E17)</f>
        <v>0</v>
      </c>
      <c r="F18" s="317">
        <f>SUM(F15:F17)</f>
        <v>1400000</v>
      </c>
      <c r="G18" s="321">
        <f>SUM(G15:G17)</f>
        <v>0</v>
      </c>
    </row>
    <row r="19" spans="1:7" ht="15" customHeight="1">
      <c r="A19" s="315" t="s">
        <v>652</v>
      </c>
      <c r="B19" s="316" t="s">
        <v>653</v>
      </c>
      <c r="C19" s="317"/>
      <c r="D19" s="318"/>
      <c r="E19" s="317"/>
      <c r="F19" s="318"/>
      <c r="G19" s="319"/>
    </row>
    <row r="20" spans="1:7" ht="15" customHeight="1">
      <c r="A20" s="322" t="s">
        <v>654</v>
      </c>
      <c r="B20" s="323" t="s">
        <v>655</v>
      </c>
      <c r="C20" s="324">
        <f>+C7+C14+C18+C19</f>
        <v>149118874</v>
      </c>
      <c r="D20" s="324">
        <f>+D7+D14+D18+D19</f>
        <v>0</v>
      </c>
      <c r="E20" s="324">
        <f>+E7+E14+E18+E19</f>
        <v>0</v>
      </c>
      <c r="F20" s="324">
        <f>+F7+F14+F18+F19+F8</f>
        <v>557624562</v>
      </c>
      <c r="G20" s="325">
        <f>+G8+G14+G18+G19</f>
        <v>235737572</v>
      </c>
    </row>
    <row r="21" spans="1:7" ht="15" customHeight="1">
      <c r="A21" s="315" t="s">
        <v>656</v>
      </c>
      <c r="B21" s="316" t="s">
        <v>657</v>
      </c>
      <c r="C21" s="317"/>
      <c r="D21" s="318"/>
      <c r="E21" s="317"/>
      <c r="F21" s="318"/>
      <c r="G21" s="319"/>
    </row>
    <row r="22" spans="1:7" ht="15" customHeight="1">
      <c r="A22" s="315" t="s">
        <v>658</v>
      </c>
      <c r="B22" s="326" t="s">
        <v>659</v>
      </c>
      <c r="C22" s="317"/>
      <c r="D22" s="318"/>
      <c r="E22" s="317"/>
      <c r="F22" s="318"/>
      <c r="G22" s="319"/>
    </row>
    <row r="23" spans="1:7" ht="15" customHeight="1">
      <c r="A23" s="322" t="s">
        <v>660</v>
      </c>
      <c r="B23" s="323" t="s">
        <v>661</v>
      </c>
      <c r="C23" s="324">
        <f>SUM(C21:C22)</f>
        <v>0</v>
      </c>
      <c r="D23" s="324">
        <f>SUM(D21:D22)</f>
        <v>0</v>
      </c>
      <c r="E23" s="324">
        <f>SUM(E21:E22)</f>
        <v>0</v>
      </c>
      <c r="F23" s="324">
        <f>SUM(F21:F22)</f>
        <v>0</v>
      </c>
      <c r="G23" s="325">
        <f>SUM(G21:G22)</f>
        <v>0</v>
      </c>
    </row>
    <row r="24" spans="1:7" ht="15" customHeight="1">
      <c r="A24" s="315" t="s">
        <v>662</v>
      </c>
      <c r="B24" s="326" t="s">
        <v>663</v>
      </c>
      <c r="C24" s="317"/>
      <c r="D24" s="318"/>
      <c r="E24" s="317"/>
      <c r="F24" s="318"/>
      <c r="G24" s="319"/>
    </row>
    <row r="25" spans="1:7" ht="15" customHeight="1">
      <c r="A25" s="315" t="s">
        <v>664</v>
      </c>
      <c r="B25" s="326" t="s">
        <v>665</v>
      </c>
      <c r="C25" s="317"/>
      <c r="D25" s="318"/>
      <c r="E25" s="317"/>
      <c r="F25" s="318">
        <f>'1.sz.mell_Vagyonmérleg 2020.'!D45</f>
        <v>1468932</v>
      </c>
      <c r="G25" s="319"/>
    </row>
    <row r="26" spans="1:7" ht="15" customHeight="1">
      <c r="A26" s="315" t="s">
        <v>666</v>
      </c>
      <c r="B26" s="326" t="s">
        <v>667</v>
      </c>
      <c r="C26" s="317"/>
      <c r="D26" s="318"/>
      <c r="E26" s="317"/>
      <c r="F26" s="318">
        <f>'1.sz.mell_Vagyonmérleg 2020.'!D46</f>
        <v>441072970</v>
      </c>
      <c r="G26" s="319"/>
    </row>
    <row r="27" spans="1:7" ht="15" customHeight="1">
      <c r="A27" s="315" t="s">
        <v>668</v>
      </c>
      <c r="B27" s="326" t="s">
        <v>669</v>
      </c>
      <c r="C27" s="317"/>
      <c r="D27" s="318"/>
      <c r="E27" s="317"/>
      <c r="F27" s="318">
        <f>'1.sz.mell_Vagyonmérleg 2020.'!D47</f>
        <v>61119943</v>
      </c>
      <c r="G27" s="319"/>
    </row>
    <row r="28" spans="1:7" ht="15" customHeight="1">
      <c r="A28" s="315" t="s">
        <v>670</v>
      </c>
      <c r="B28" s="326" t="s">
        <v>671</v>
      </c>
      <c r="C28" s="317"/>
      <c r="D28" s="318"/>
      <c r="E28" s="317"/>
      <c r="F28" s="318"/>
      <c r="G28" s="319"/>
    </row>
    <row r="29" spans="1:7" ht="15" customHeight="1">
      <c r="A29" s="322" t="s">
        <v>672</v>
      </c>
      <c r="B29" s="323" t="s">
        <v>673</v>
      </c>
      <c r="C29" s="324">
        <f>SUM(C24:C28)</f>
        <v>0</v>
      </c>
      <c r="D29" s="324">
        <f>SUM(D24:D28)</f>
        <v>0</v>
      </c>
      <c r="E29" s="324">
        <f>SUM(E24:E28)</f>
        <v>0</v>
      </c>
      <c r="F29" s="324">
        <f>SUM(F24:F28)</f>
        <v>503661845</v>
      </c>
      <c r="G29" s="325">
        <f>SUM(G24:G28)</f>
        <v>0</v>
      </c>
    </row>
    <row r="30" spans="1:7" ht="15" customHeight="1">
      <c r="A30" s="315" t="s">
        <v>674</v>
      </c>
      <c r="B30" s="326" t="s">
        <v>675</v>
      </c>
      <c r="C30" s="317"/>
      <c r="D30" s="318"/>
      <c r="E30" s="317"/>
      <c r="F30" s="318">
        <f>'1.sz.mell_Vagyonmérleg 2020.'!D63</f>
        <v>300000</v>
      </c>
      <c r="G30" s="319"/>
    </row>
    <row r="31" spans="1:7" ht="15" customHeight="1">
      <c r="A31" s="315" t="s">
        <v>676</v>
      </c>
      <c r="B31" s="326" t="s">
        <v>677</v>
      </c>
      <c r="C31" s="317"/>
      <c r="D31" s="318"/>
      <c r="E31" s="317"/>
      <c r="F31" s="318">
        <f>'1.sz.mell_Vagyonmérleg 2020.'!D77</f>
        <v>7632</v>
      </c>
      <c r="G31" s="319"/>
    </row>
    <row r="32" spans="1:7" ht="15" customHeight="1">
      <c r="A32" s="315" t="s">
        <v>678</v>
      </c>
      <c r="B32" s="326" t="s">
        <v>679</v>
      </c>
      <c r="C32" s="317"/>
      <c r="D32" s="318"/>
      <c r="E32" s="317"/>
      <c r="F32" s="318">
        <f>'1.sz.mell_Vagyonmérleg 2020.'!D90</f>
        <v>350100</v>
      </c>
      <c r="G32" s="319"/>
    </row>
    <row r="33" spans="1:7" ht="15" customHeight="1">
      <c r="A33" s="322" t="s">
        <v>680</v>
      </c>
      <c r="B33" s="323" t="s">
        <v>681</v>
      </c>
      <c r="C33" s="324">
        <f>SUM(C30:C32)</f>
        <v>0</v>
      </c>
      <c r="D33" s="324">
        <f>SUM(D30:D32)</f>
        <v>0</v>
      </c>
      <c r="E33" s="324">
        <f>SUM(E30:E32)</f>
        <v>0</v>
      </c>
      <c r="F33" s="324">
        <f>SUM(F30:F32)</f>
        <v>657732</v>
      </c>
      <c r="G33" s="325">
        <f>SUM(G30:G32)</f>
        <v>0</v>
      </c>
    </row>
    <row r="34" spans="1:7" ht="15" customHeight="1">
      <c r="A34" s="322" t="s">
        <v>682</v>
      </c>
      <c r="B34" s="323" t="s">
        <v>683</v>
      </c>
      <c r="C34" s="324"/>
      <c r="D34" s="324"/>
      <c r="E34" s="324"/>
      <c r="F34" s="324">
        <f>'1.sz.mell_Vagyonmérleg 2020.'!D92</f>
        <v>2713415</v>
      </c>
      <c r="G34" s="325"/>
    </row>
    <row r="35" spans="1:7" ht="15" customHeight="1">
      <c r="A35" s="322" t="s">
        <v>684</v>
      </c>
      <c r="B35" s="323" t="s">
        <v>685</v>
      </c>
      <c r="C35" s="324"/>
      <c r="D35" s="327"/>
      <c r="E35" s="324"/>
      <c r="F35" s="327">
        <f>'1.sz.mell_Vagyonmérleg 2020.'!D96</f>
        <v>0</v>
      </c>
      <c r="G35" s="328"/>
    </row>
    <row r="36" spans="1:7" ht="15" customHeight="1" thickBot="1">
      <c r="A36" s="329"/>
      <c r="B36" s="330" t="s">
        <v>686</v>
      </c>
      <c r="C36" s="331">
        <f>+C20+C23+C29+C33+C34+C35</f>
        <v>149118874</v>
      </c>
      <c r="D36" s="331">
        <f>+D20+D23+D29+D33+D34+D35</f>
        <v>0</v>
      </c>
      <c r="E36" s="331">
        <f>+E20+E23+E29+E33+E34+E35</f>
        <v>0</v>
      </c>
      <c r="F36" s="332">
        <f>+F20+F23+F29+F33+F34+F35</f>
        <v>1064657554</v>
      </c>
      <c r="G36" s="333">
        <f>+G20+G23+G29+G33+G34+G35</f>
        <v>235737572</v>
      </c>
    </row>
    <row r="37" spans="3:5" ht="14.25">
      <c r="C37" s="334"/>
      <c r="E37" s="334"/>
    </row>
    <row r="38" spans="1:5" ht="19.5" customHeight="1">
      <c r="A38" s="688" t="s">
        <v>687</v>
      </c>
      <c r="B38" s="688"/>
      <c r="C38" s="688"/>
      <c r="E38" s="334"/>
    </row>
    <row r="39" spans="3:5" ht="15" thickBot="1">
      <c r="C39" s="335" t="s">
        <v>216</v>
      </c>
      <c r="E39" s="334"/>
    </row>
    <row r="40" spans="1:5" ht="25.5">
      <c r="A40" s="336"/>
      <c r="B40" s="309" t="s">
        <v>496</v>
      </c>
      <c r="C40" s="337" t="s">
        <v>688</v>
      </c>
      <c r="E40" s="334"/>
    </row>
    <row r="41" spans="1:5" ht="14.25">
      <c r="A41" s="315" t="s">
        <v>689</v>
      </c>
      <c r="B41" s="326" t="s">
        <v>690</v>
      </c>
      <c r="C41" s="321">
        <f>'1.sz.mell_Vagyonmérleg 2020.'!D99</f>
        <v>153036919</v>
      </c>
      <c r="E41" s="334"/>
    </row>
    <row r="42" spans="1:5" ht="14.25">
      <c r="A42" s="315" t="s">
        <v>691</v>
      </c>
      <c r="B42" s="326" t="s">
        <v>692</v>
      </c>
      <c r="C42" s="321">
        <f>'1.sz.mell_Vagyonmérleg 2020.'!D100</f>
        <v>0</v>
      </c>
      <c r="E42" s="334"/>
    </row>
    <row r="43" spans="1:5" ht="14.25">
      <c r="A43" s="315" t="s">
        <v>693</v>
      </c>
      <c r="B43" s="326" t="s">
        <v>694</v>
      </c>
      <c r="C43" s="321">
        <f>'1.sz.mell_Vagyonmérleg 2020.'!D101</f>
        <v>353494383</v>
      </c>
      <c r="E43" s="334"/>
    </row>
    <row r="44" spans="1:5" ht="14.25">
      <c r="A44" s="315" t="s">
        <v>695</v>
      </c>
      <c r="B44" s="326" t="s">
        <v>696</v>
      </c>
      <c r="C44" s="321">
        <f>'1.sz.mell_Vagyonmérleg 2020.'!D102</f>
        <v>-214644204</v>
      </c>
      <c r="E44" s="334"/>
    </row>
    <row r="45" spans="1:5" ht="14.25">
      <c r="A45" s="315" t="s">
        <v>697</v>
      </c>
      <c r="B45" s="326" t="s">
        <v>698</v>
      </c>
      <c r="C45" s="321">
        <f>'1.sz.mell_Vagyonmérleg 2020.'!D103</f>
        <v>0</v>
      </c>
      <c r="E45" s="334"/>
    </row>
    <row r="46" spans="1:5" ht="14.25">
      <c r="A46" s="315" t="s">
        <v>699</v>
      </c>
      <c r="B46" s="326" t="s">
        <v>700</v>
      </c>
      <c r="C46" s="321">
        <f>'1.sz.mell_Vagyonmérleg 2020.'!D104</f>
        <v>137262518</v>
      </c>
      <c r="E46" s="334"/>
    </row>
    <row r="47" spans="1:5" ht="14.25">
      <c r="A47" s="322" t="s">
        <v>701</v>
      </c>
      <c r="B47" s="323" t="s">
        <v>702</v>
      </c>
      <c r="C47" s="338">
        <f>SUM(C41:C46)</f>
        <v>429149616</v>
      </c>
      <c r="E47" s="334"/>
    </row>
    <row r="48" spans="1:5" ht="14.25">
      <c r="A48" s="315" t="s">
        <v>703</v>
      </c>
      <c r="B48" s="326" t="s">
        <v>704</v>
      </c>
      <c r="C48" s="321">
        <f>'1.sz.mell_Vagyonmérleg 2020.'!D125</f>
        <v>6393001</v>
      </c>
      <c r="E48" s="334"/>
    </row>
    <row r="49" spans="1:5" ht="14.25">
      <c r="A49" s="315" t="s">
        <v>705</v>
      </c>
      <c r="B49" s="326" t="s">
        <v>706</v>
      </c>
      <c r="C49" s="321">
        <f>'1.sz.mell_Vagyonmérleg 2020.'!D145</f>
        <v>11220000</v>
      </c>
      <c r="E49" s="334"/>
    </row>
    <row r="50" spans="1:5" ht="14.25">
      <c r="A50" s="315" t="s">
        <v>707</v>
      </c>
      <c r="B50" s="326" t="s">
        <v>708</v>
      </c>
      <c r="C50" s="321">
        <f>'1.sz.mell_Vagyonmérleg 2020.'!D153</f>
        <v>0</v>
      </c>
      <c r="E50" s="334"/>
    </row>
    <row r="51" spans="1:5" ht="14.25">
      <c r="A51" s="322" t="s">
        <v>709</v>
      </c>
      <c r="B51" s="323" t="s">
        <v>710</v>
      </c>
      <c r="C51" s="338">
        <f>SUM(C48:C50)</f>
        <v>17613001</v>
      </c>
      <c r="E51" s="334"/>
    </row>
    <row r="52" spans="1:5" ht="14.25">
      <c r="A52" s="322" t="s">
        <v>711</v>
      </c>
      <c r="B52" s="323" t="s">
        <v>712</v>
      </c>
      <c r="C52" s="338"/>
      <c r="E52" s="334"/>
    </row>
    <row r="53" spans="1:5" ht="25.5">
      <c r="A53" s="322" t="s">
        <v>713</v>
      </c>
      <c r="B53" s="323" t="s">
        <v>714</v>
      </c>
      <c r="C53" s="338"/>
      <c r="E53" s="334"/>
    </row>
    <row r="54" spans="1:5" ht="14.25">
      <c r="A54" s="322" t="s">
        <v>715</v>
      </c>
      <c r="B54" s="323" t="s">
        <v>716</v>
      </c>
      <c r="C54" s="338">
        <f>'1.sz.mell_Vagyonmérleg 2020.'!D160</f>
        <v>617894937</v>
      </c>
      <c r="E54" s="334"/>
    </row>
    <row r="55" spans="1:5" ht="15" thickBot="1">
      <c r="A55" s="329"/>
      <c r="B55" s="330" t="s">
        <v>717</v>
      </c>
      <c r="C55" s="339">
        <f>+C47+C51+C52+C53+C54</f>
        <v>1064657554</v>
      </c>
      <c r="E55" s="334"/>
    </row>
    <row r="56" spans="3:5" ht="14.25">
      <c r="C56" s="334"/>
      <c r="E56" s="334"/>
    </row>
    <row r="57" spans="1:7" ht="27" customHeight="1">
      <c r="A57" s="683" t="s">
        <v>718</v>
      </c>
      <c r="B57" s="683"/>
      <c r="C57" s="683"/>
      <c r="D57" s="340"/>
      <c r="E57" s="340"/>
      <c r="F57" s="341"/>
      <c r="G57" s="342"/>
    </row>
    <row r="58" spans="1:7" ht="15" thickBot="1">
      <c r="A58" s="343"/>
      <c r="B58" s="340"/>
      <c r="C58" s="340"/>
      <c r="D58" s="340"/>
      <c r="E58" s="340"/>
      <c r="F58" s="341"/>
      <c r="G58" s="342"/>
    </row>
    <row r="59" spans="1:7" ht="14.25">
      <c r="A59" s="674" t="s">
        <v>238</v>
      </c>
      <c r="B59" s="675"/>
      <c r="C59" s="676"/>
      <c r="D59" s="344"/>
      <c r="E59" s="345"/>
      <c r="F59" s="346"/>
      <c r="G59" s="347"/>
    </row>
    <row r="60" spans="1:7" ht="14.25">
      <c r="A60" s="677"/>
      <c r="B60" s="678"/>
      <c r="C60" s="679"/>
      <c r="D60" s="348"/>
      <c r="E60" s="349"/>
      <c r="F60" s="350"/>
      <c r="G60" s="347"/>
    </row>
    <row r="61" spans="1:7" ht="15" thickBot="1">
      <c r="A61" s="680"/>
      <c r="B61" s="681"/>
      <c r="C61" s="682"/>
      <c r="D61" s="348"/>
      <c r="E61" s="349"/>
      <c r="F61" s="350"/>
      <c r="G61" s="351"/>
    </row>
    <row r="62" spans="1:7" ht="14.25">
      <c r="A62" s="340"/>
      <c r="B62" s="340"/>
      <c r="C62" s="340"/>
      <c r="D62" s="340"/>
      <c r="E62" s="340"/>
      <c r="F62" s="341"/>
      <c r="G62" s="342"/>
    </row>
    <row r="63" spans="1:5" ht="24.75" customHeight="1">
      <c r="A63" s="673" t="s">
        <v>719</v>
      </c>
      <c r="B63" s="673"/>
      <c r="C63" s="673"/>
      <c r="E63" s="334"/>
    </row>
    <row r="64" spans="1:5" ht="15" thickBot="1">
      <c r="A64" s="352"/>
      <c r="B64" s="353"/>
      <c r="C64" s="334"/>
      <c r="E64" s="334"/>
    </row>
    <row r="65" spans="1:5" s="302" customFormat="1" ht="25.5">
      <c r="A65" s="354"/>
      <c r="B65" s="355" t="s">
        <v>154</v>
      </c>
      <c r="C65" s="337" t="s">
        <v>688</v>
      </c>
      <c r="D65" s="278"/>
      <c r="E65" s="334"/>
    </row>
    <row r="66" spans="1:5" s="302" customFormat="1" ht="14.25">
      <c r="A66" s="356" t="s">
        <v>314</v>
      </c>
      <c r="B66" s="326" t="s">
        <v>720</v>
      </c>
      <c r="C66" s="357"/>
      <c r="D66" s="278"/>
      <c r="E66" s="334"/>
    </row>
    <row r="67" spans="1:5" s="302" customFormat="1" ht="14.25">
      <c r="A67" s="356" t="s">
        <v>721</v>
      </c>
      <c r="B67" s="326" t="s">
        <v>722</v>
      </c>
      <c r="C67" s="357">
        <v>0</v>
      </c>
      <c r="D67" s="278"/>
      <c r="E67" s="334"/>
    </row>
    <row r="68" spans="1:5" s="302" customFormat="1" ht="14.25">
      <c r="A68" s="356" t="s">
        <v>723</v>
      </c>
      <c r="B68" s="326" t="s">
        <v>724</v>
      </c>
      <c r="C68" s="357">
        <v>0</v>
      </c>
      <c r="D68" s="278"/>
      <c r="E68" s="334"/>
    </row>
    <row r="69" spans="1:5" s="302" customFormat="1" ht="25.5">
      <c r="A69" s="356" t="s">
        <v>725</v>
      </c>
      <c r="B69" s="326" t="s">
        <v>726</v>
      </c>
      <c r="C69" s="357">
        <v>0</v>
      </c>
      <c r="D69" s="278"/>
      <c r="E69" s="334"/>
    </row>
    <row r="70" spans="1:5" s="302" customFormat="1" ht="14.25">
      <c r="A70" s="356" t="s">
        <v>727</v>
      </c>
      <c r="B70" s="326" t="s">
        <v>728</v>
      </c>
      <c r="C70" s="357">
        <v>0</v>
      </c>
      <c r="D70" s="278"/>
      <c r="E70" s="334"/>
    </row>
    <row r="71" spans="1:5" s="302" customFormat="1" ht="14.25">
      <c r="A71" s="356" t="s">
        <v>729</v>
      </c>
      <c r="B71" s="326" t="s">
        <v>657</v>
      </c>
      <c r="C71" s="357"/>
      <c r="D71" s="278"/>
      <c r="E71" s="334"/>
    </row>
    <row r="72" spans="1:5" s="302" customFormat="1" ht="14.25">
      <c r="A72" s="356" t="s">
        <v>730</v>
      </c>
      <c r="B72" s="326" t="s">
        <v>731</v>
      </c>
      <c r="C72" s="357">
        <v>0</v>
      </c>
      <c r="D72" s="278"/>
      <c r="E72" s="334"/>
    </row>
    <row r="73" spans="1:5" s="302" customFormat="1" ht="14.25">
      <c r="A73" s="356" t="s">
        <v>732</v>
      </c>
      <c r="B73" s="326" t="s">
        <v>733</v>
      </c>
      <c r="C73" s="357">
        <v>0</v>
      </c>
      <c r="D73" s="278"/>
      <c r="E73" s="334"/>
    </row>
    <row r="74" spans="1:5" s="302" customFormat="1" ht="14.25">
      <c r="A74" s="356" t="s">
        <v>734</v>
      </c>
      <c r="B74" s="326" t="s">
        <v>735</v>
      </c>
      <c r="C74" s="357">
        <v>0</v>
      </c>
      <c r="D74" s="278"/>
      <c r="E74" s="334"/>
    </row>
    <row r="75" spans="1:5" s="302" customFormat="1" ht="14.25">
      <c r="A75" s="356" t="s">
        <v>318</v>
      </c>
      <c r="B75" s="326" t="s">
        <v>736</v>
      </c>
      <c r="C75" s="357">
        <v>0</v>
      </c>
      <c r="D75" s="278"/>
      <c r="E75" s="334"/>
    </row>
    <row r="76" spans="1:5" s="302" customFormat="1" ht="15" thickBot="1">
      <c r="A76" s="358" t="s">
        <v>320</v>
      </c>
      <c r="B76" s="359" t="s">
        <v>737</v>
      </c>
      <c r="C76" s="360">
        <v>0</v>
      </c>
      <c r="D76" s="278"/>
      <c r="E76" s="334"/>
    </row>
  </sheetData>
  <sheetProtection/>
  <mergeCells count="8">
    <mergeCell ref="A63:C63"/>
    <mergeCell ref="A59:C59"/>
    <mergeCell ref="A60:C61"/>
    <mergeCell ref="A57:C57"/>
    <mergeCell ref="B1:G1"/>
    <mergeCell ref="A2:G3"/>
    <mergeCell ref="C6:G6"/>
    <mergeCell ref="A38:C38"/>
  </mergeCells>
  <printOptions/>
  <pageMargins left="0.7" right="0.7" top="0.75" bottom="0.75" header="0.3" footer="0.3"/>
  <pageSetup fitToHeight="0" fitToWidth="1" horizontalDpi="600" verticalDpi="600" orientation="portrait" paperSize="9" scale="61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zoomScalePageLayoutView="0" workbookViewId="0" topLeftCell="A34">
      <selection activeCell="F63" sqref="F63:G63"/>
    </sheetView>
  </sheetViews>
  <sheetFormatPr defaultColWidth="9.140625" defaultRowHeight="15"/>
  <cols>
    <col min="1" max="1" width="6.00390625" style="37" bestFit="1" customWidth="1"/>
    <col min="2" max="2" width="28.28125" style="37" customWidth="1"/>
    <col min="3" max="3" width="13.7109375" style="37" customWidth="1"/>
    <col min="4" max="4" width="25.57421875" style="37" customWidth="1"/>
    <col min="5" max="5" width="10.00390625" style="37" customWidth="1"/>
    <col min="6" max="6" width="3.8515625" style="37" bestFit="1" customWidth="1"/>
    <col min="7" max="7" width="14.57421875" style="38" customWidth="1"/>
    <col min="8" max="8" width="16.00390625" style="38" customWidth="1"/>
    <col min="9" max="9" width="14.57421875" style="38" customWidth="1"/>
    <col min="10" max="16384" width="9.140625" style="37" customWidth="1"/>
  </cols>
  <sheetData>
    <row r="1" spans="1:9" s="36" customFormat="1" ht="15">
      <c r="A1" s="207"/>
      <c r="B1" s="208"/>
      <c r="C1" s="208"/>
      <c r="D1" s="209"/>
      <c r="E1" s="208"/>
      <c r="F1" s="210"/>
      <c r="G1" s="211"/>
      <c r="H1" s="212"/>
      <c r="I1" s="213" t="s">
        <v>946</v>
      </c>
    </row>
    <row r="2" spans="1:9" ht="12.75">
      <c r="A2" s="214"/>
      <c r="B2" s="214"/>
      <c r="C2" s="214"/>
      <c r="D2" s="214"/>
      <c r="E2" s="214"/>
      <c r="F2" s="214"/>
      <c r="G2" s="215"/>
      <c r="H2" s="215"/>
      <c r="I2" s="215" t="s">
        <v>216</v>
      </c>
    </row>
    <row r="3" spans="1:9" ht="12.75">
      <c r="A3" s="700" t="s">
        <v>866</v>
      </c>
      <c r="B3" s="700"/>
      <c r="C3" s="700"/>
      <c r="D3" s="700"/>
      <c r="E3" s="700"/>
      <c r="F3" s="700"/>
      <c r="G3" s="700"/>
      <c r="H3" s="700"/>
      <c r="I3" s="700"/>
    </row>
    <row r="4" spans="1:9" ht="12.75">
      <c r="A4" s="214"/>
      <c r="B4" s="214"/>
      <c r="C4" s="214"/>
      <c r="D4" s="214"/>
      <c r="E4" s="214"/>
      <c r="F4" s="214"/>
      <c r="G4" s="215"/>
      <c r="H4" s="215"/>
      <c r="I4" s="215"/>
    </row>
    <row r="5" spans="1:9" s="39" customFormat="1" ht="12.75">
      <c r="A5" s="709" t="s">
        <v>738</v>
      </c>
      <c r="B5" s="216" t="s">
        <v>739</v>
      </c>
      <c r="C5" s="217" t="s">
        <v>740</v>
      </c>
      <c r="D5" s="709" t="s">
        <v>741</v>
      </c>
      <c r="E5" s="216" t="s">
        <v>742</v>
      </c>
      <c r="F5" s="217" t="s">
        <v>743</v>
      </c>
      <c r="G5" s="710" t="s">
        <v>744</v>
      </c>
      <c r="H5" s="710" t="s">
        <v>745</v>
      </c>
      <c r="I5" s="710" t="s">
        <v>746</v>
      </c>
    </row>
    <row r="6" spans="1:9" s="39" customFormat="1" ht="12.75">
      <c r="A6" s="709"/>
      <c r="B6" s="218" t="s">
        <v>747</v>
      </c>
      <c r="C6" s="219" t="s">
        <v>748</v>
      </c>
      <c r="D6" s="709"/>
      <c r="E6" s="218" t="s">
        <v>749</v>
      </c>
      <c r="F6" s="219" t="s">
        <v>750</v>
      </c>
      <c r="G6" s="710"/>
      <c r="H6" s="710"/>
      <c r="I6" s="710"/>
    </row>
    <row r="7" spans="1:9" s="39" customFormat="1" ht="16.5" customHeight="1">
      <c r="A7" s="709"/>
      <c r="B7" s="220"/>
      <c r="C7" s="221"/>
      <c r="D7" s="709"/>
      <c r="E7" s="220"/>
      <c r="F7" s="222" t="s">
        <v>751</v>
      </c>
      <c r="G7" s="710"/>
      <c r="H7" s="710"/>
      <c r="I7" s="710"/>
    </row>
    <row r="8" spans="1:9" ht="12.75">
      <c r="A8" s="223" t="s">
        <v>111</v>
      </c>
      <c r="B8" s="224" t="s">
        <v>752</v>
      </c>
      <c r="C8" s="224"/>
      <c r="D8" s="224"/>
      <c r="E8" s="224"/>
      <c r="F8" s="224" t="s">
        <v>751</v>
      </c>
      <c r="G8" s="225">
        <v>149118874</v>
      </c>
      <c r="H8" s="225">
        <v>0</v>
      </c>
      <c r="I8" s="226">
        <f>G8-H8</f>
        <v>149118874</v>
      </c>
    </row>
    <row r="9" spans="1:9" s="40" customFormat="1" ht="12.75">
      <c r="A9" s="227"/>
      <c r="B9" s="228" t="s">
        <v>753</v>
      </c>
      <c r="C9" s="229"/>
      <c r="D9" s="228"/>
      <c r="E9" s="229"/>
      <c r="F9" s="230"/>
      <c r="G9" s="231">
        <f>SUM(G8)</f>
        <v>149118874</v>
      </c>
      <c r="H9" s="231">
        <f>SUM(H8)</f>
        <v>0</v>
      </c>
      <c r="I9" s="231">
        <f>SUM(I8)</f>
        <v>149118874</v>
      </c>
    </row>
    <row r="10" spans="1:10" s="36" customFormat="1" ht="12.75" customHeight="1">
      <c r="A10" s="207"/>
      <c r="B10" s="211"/>
      <c r="C10" s="211"/>
      <c r="D10" s="232"/>
      <c r="E10" s="211"/>
      <c r="F10" s="233"/>
      <c r="G10" s="211"/>
      <c r="H10" s="234"/>
      <c r="I10" s="234"/>
      <c r="J10" s="41"/>
    </row>
    <row r="11" spans="1:10" s="36" customFormat="1" ht="12.75" customHeight="1">
      <c r="A11" s="209" t="s">
        <v>754</v>
      </c>
      <c r="B11" s="209"/>
      <c r="C11" s="235" t="s">
        <v>755</v>
      </c>
      <c r="D11" s="235"/>
      <c r="E11" s="235" t="s">
        <v>756</v>
      </c>
      <c r="F11" s="235"/>
      <c r="G11" s="209"/>
      <c r="H11" s="209"/>
      <c r="I11" s="209"/>
      <c r="J11" s="35"/>
    </row>
    <row r="12" spans="1:10" s="36" customFormat="1" ht="12.7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42"/>
    </row>
    <row r="13" spans="1:9" s="36" customFormat="1" ht="12.75" customHeight="1">
      <c r="A13" s="207"/>
      <c r="B13" s="208"/>
      <c r="C13" s="208"/>
      <c r="D13" s="209"/>
      <c r="E13" s="208"/>
      <c r="F13" s="210"/>
      <c r="G13" s="211"/>
      <c r="H13" s="212"/>
      <c r="I13" s="213" t="s">
        <v>947</v>
      </c>
    </row>
    <row r="14" spans="1:9" s="36" customFormat="1" ht="12.75">
      <c r="A14" s="236"/>
      <c r="B14" s="214"/>
      <c r="C14" s="237"/>
      <c r="D14" s="214"/>
      <c r="E14" s="237"/>
      <c r="F14" s="238"/>
      <c r="G14" s="215"/>
      <c r="H14" s="215"/>
      <c r="I14" s="215"/>
    </row>
    <row r="15" spans="1:9" s="36" customFormat="1" ht="12.75">
      <c r="A15" s="700" t="s">
        <v>867</v>
      </c>
      <c r="B15" s="700"/>
      <c r="C15" s="700"/>
      <c r="D15" s="700"/>
      <c r="E15" s="700"/>
      <c r="F15" s="700"/>
      <c r="G15" s="700"/>
      <c r="H15" s="700"/>
      <c r="I15" s="700"/>
    </row>
    <row r="16" spans="1:9" s="36" customFormat="1" ht="12.75">
      <c r="A16" s="214"/>
      <c r="B16" s="214"/>
      <c r="C16" s="214"/>
      <c r="D16" s="214"/>
      <c r="E16" s="214"/>
      <c r="F16" s="214"/>
      <c r="G16" s="215"/>
      <c r="H16" s="215"/>
      <c r="I16" s="215"/>
    </row>
    <row r="17" spans="1:9" s="36" customFormat="1" ht="12.75">
      <c r="A17" s="707" t="s">
        <v>738</v>
      </c>
      <c r="B17" s="239" t="s">
        <v>739</v>
      </c>
      <c r="C17" s="240" t="s">
        <v>740</v>
      </c>
      <c r="D17" s="707" t="s">
        <v>741</v>
      </c>
      <c r="E17" s="239" t="s">
        <v>742</v>
      </c>
      <c r="F17" s="240" t="s">
        <v>743</v>
      </c>
      <c r="G17" s="708" t="s">
        <v>744</v>
      </c>
      <c r="H17" s="708" t="s">
        <v>745</v>
      </c>
      <c r="I17" s="708" t="s">
        <v>746</v>
      </c>
    </row>
    <row r="18" spans="1:9" s="36" customFormat="1" ht="12.75">
      <c r="A18" s="707"/>
      <c r="B18" s="241" t="s">
        <v>747</v>
      </c>
      <c r="C18" s="242" t="s">
        <v>748</v>
      </c>
      <c r="D18" s="707"/>
      <c r="E18" s="241" t="s">
        <v>749</v>
      </c>
      <c r="F18" s="242" t="s">
        <v>750</v>
      </c>
      <c r="G18" s="708"/>
      <c r="H18" s="708"/>
      <c r="I18" s="708"/>
    </row>
    <row r="19" spans="1:9" s="36" customFormat="1" ht="13.5" customHeight="1">
      <c r="A19" s="707"/>
      <c r="B19" s="243"/>
      <c r="C19" s="244"/>
      <c r="D19" s="707"/>
      <c r="E19" s="243"/>
      <c r="F19" s="245" t="s">
        <v>751</v>
      </c>
      <c r="G19" s="708"/>
      <c r="H19" s="708"/>
      <c r="I19" s="708"/>
    </row>
    <row r="20" spans="1:9" s="36" customFormat="1" ht="12.75">
      <c r="A20" s="246"/>
      <c r="B20" s="699"/>
      <c r="C20" s="699"/>
      <c r="D20" s="699"/>
      <c r="E20" s="699"/>
      <c r="F20" s="699"/>
      <c r="G20" s="247"/>
      <c r="H20" s="247"/>
      <c r="I20" s="248"/>
    </row>
    <row r="21" spans="1:9" s="40" customFormat="1" ht="12.75">
      <c r="A21" s="227"/>
      <c r="B21" s="228" t="s">
        <v>753</v>
      </c>
      <c r="C21" s="229"/>
      <c r="D21" s="228"/>
      <c r="E21" s="229"/>
      <c r="F21" s="230"/>
      <c r="G21" s="231">
        <f>SUM(G20:G20)</f>
        <v>0</v>
      </c>
      <c r="H21" s="231">
        <f>SUM(H20:H20)</f>
        <v>0</v>
      </c>
      <c r="I21" s="249">
        <f>SUM(I20:I20)</f>
        <v>0</v>
      </c>
    </row>
    <row r="22" spans="1:10" s="36" customFormat="1" ht="12.75" customHeight="1">
      <c r="A22" s="207"/>
      <c r="B22" s="211"/>
      <c r="C22" s="211"/>
      <c r="D22" s="232"/>
      <c r="E22" s="211"/>
      <c r="F22" s="233"/>
      <c r="G22" s="211"/>
      <c r="H22" s="234"/>
      <c r="I22" s="234"/>
      <c r="J22" s="41"/>
    </row>
    <row r="23" spans="1:10" s="36" customFormat="1" ht="12.75" customHeight="1">
      <c r="A23" s="209" t="s">
        <v>754</v>
      </c>
      <c r="B23" s="209"/>
      <c r="C23" s="235" t="s">
        <v>755</v>
      </c>
      <c r="D23" s="209"/>
      <c r="E23" s="235" t="s">
        <v>756</v>
      </c>
      <c r="F23" s="209"/>
      <c r="G23" s="209"/>
      <c r="H23" s="209"/>
      <c r="I23" s="209"/>
      <c r="J23" s="35"/>
    </row>
    <row r="24" spans="1:10" s="36" customFormat="1" ht="12.75" customHeight="1">
      <c r="A24" s="209"/>
      <c r="B24" s="209"/>
      <c r="C24" s="235"/>
      <c r="D24" s="209"/>
      <c r="E24" s="235"/>
      <c r="F24" s="209"/>
      <c r="G24" s="209"/>
      <c r="H24" s="209"/>
      <c r="I24" s="209"/>
      <c r="J24" s="35"/>
    </row>
    <row r="25" spans="1:10" s="36" customFormat="1" ht="17.25" customHeight="1">
      <c r="A25" s="207"/>
      <c r="B25" s="208"/>
      <c r="C25" s="208"/>
      <c r="D25" s="209"/>
      <c r="E25" s="208"/>
      <c r="F25" s="210"/>
      <c r="G25" s="211"/>
      <c r="H25" s="212"/>
      <c r="I25" s="250" t="s">
        <v>948</v>
      </c>
      <c r="J25" s="35"/>
    </row>
    <row r="26" spans="1:10" s="36" customFormat="1" ht="12.75" customHeight="1">
      <c r="A26" s="236"/>
      <c r="B26" s="214"/>
      <c r="C26" s="237"/>
      <c r="D26" s="214"/>
      <c r="E26" s="237"/>
      <c r="F26" s="238"/>
      <c r="G26" s="215"/>
      <c r="H26" s="215"/>
      <c r="I26" s="215"/>
      <c r="J26" s="35"/>
    </row>
    <row r="27" spans="1:10" s="36" customFormat="1" ht="12.75" customHeight="1">
      <c r="A27" s="700" t="s">
        <v>868</v>
      </c>
      <c r="B27" s="700"/>
      <c r="C27" s="700"/>
      <c r="D27" s="700"/>
      <c r="E27" s="700"/>
      <c r="F27" s="700"/>
      <c r="G27" s="700"/>
      <c r="H27" s="700"/>
      <c r="I27" s="700"/>
      <c r="J27" s="35"/>
    </row>
    <row r="28" spans="1:10" s="36" customFormat="1" ht="12.75" customHeight="1">
      <c r="A28" s="700"/>
      <c r="B28" s="700"/>
      <c r="C28" s="700"/>
      <c r="D28" s="700"/>
      <c r="E28" s="700"/>
      <c r="F28" s="700"/>
      <c r="G28" s="700"/>
      <c r="H28" s="700"/>
      <c r="I28" s="700"/>
      <c r="J28" s="35"/>
    </row>
    <row r="29" spans="1:10" s="36" customFormat="1" ht="12.75" customHeight="1">
      <c r="A29" s="707" t="s">
        <v>738</v>
      </c>
      <c r="B29" s="239" t="s">
        <v>739</v>
      </c>
      <c r="C29" s="240" t="s">
        <v>740</v>
      </c>
      <c r="D29" s="707" t="s">
        <v>741</v>
      </c>
      <c r="E29" s="239" t="s">
        <v>742</v>
      </c>
      <c r="F29" s="240" t="s">
        <v>743</v>
      </c>
      <c r="G29" s="708" t="s">
        <v>744</v>
      </c>
      <c r="H29" s="708" t="s">
        <v>745</v>
      </c>
      <c r="I29" s="708" t="s">
        <v>746</v>
      </c>
      <c r="J29" s="35"/>
    </row>
    <row r="30" spans="1:10" s="36" customFormat="1" ht="12.75" customHeight="1">
      <c r="A30" s="707"/>
      <c r="B30" s="241" t="s">
        <v>747</v>
      </c>
      <c r="C30" s="242" t="s">
        <v>748</v>
      </c>
      <c r="D30" s="707"/>
      <c r="E30" s="241" t="s">
        <v>749</v>
      </c>
      <c r="F30" s="242" t="s">
        <v>750</v>
      </c>
      <c r="G30" s="708"/>
      <c r="H30" s="708"/>
      <c r="I30" s="708"/>
      <c r="J30" s="35"/>
    </row>
    <row r="31" spans="1:10" s="36" customFormat="1" ht="12.75" customHeight="1">
      <c r="A31" s="707"/>
      <c r="B31" s="243"/>
      <c r="C31" s="244"/>
      <c r="D31" s="707"/>
      <c r="E31" s="243"/>
      <c r="F31" s="245" t="s">
        <v>751</v>
      </c>
      <c r="G31" s="708"/>
      <c r="H31" s="708"/>
      <c r="I31" s="708"/>
      <c r="J31" s="35"/>
    </row>
    <row r="32" spans="1:10" s="36" customFormat="1" ht="12.75" customHeight="1">
      <c r="A32" s="246"/>
      <c r="B32" s="699"/>
      <c r="C32" s="699"/>
      <c r="D32" s="699"/>
      <c r="E32" s="699"/>
      <c r="F32" s="699"/>
      <c r="G32" s="247"/>
      <c r="H32" s="247"/>
      <c r="I32" s="248"/>
      <c r="J32" s="35"/>
    </row>
    <row r="33" spans="1:10" s="36" customFormat="1" ht="12.75" customHeight="1">
      <c r="A33" s="227"/>
      <c r="B33" s="228" t="s">
        <v>753</v>
      </c>
      <c r="C33" s="229"/>
      <c r="D33" s="228"/>
      <c r="E33" s="229"/>
      <c r="F33" s="230"/>
      <c r="G33" s="231">
        <f>SUM(G32:G32)</f>
        <v>0</v>
      </c>
      <c r="H33" s="231">
        <f>SUM(H32:H32)</f>
        <v>0</v>
      </c>
      <c r="I33" s="249">
        <f>SUM(I32:I32)</f>
        <v>0</v>
      </c>
      <c r="J33" s="35"/>
    </row>
    <row r="34" spans="1:10" s="36" customFormat="1" ht="12.75" customHeight="1">
      <c r="A34" s="207"/>
      <c r="B34" s="211"/>
      <c r="C34" s="211"/>
      <c r="D34" s="232"/>
      <c r="E34" s="211"/>
      <c r="F34" s="233"/>
      <c r="G34" s="211"/>
      <c r="H34" s="234"/>
      <c r="I34" s="234"/>
      <c r="J34" s="35"/>
    </row>
    <row r="35" spans="1:10" s="36" customFormat="1" ht="12.75" customHeight="1">
      <c r="A35" s="209" t="s">
        <v>754</v>
      </c>
      <c r="B35" s="209"/>
      <c r="C35" s="235" t="s">
        <v>755</v>
      </c>
      <c r="D35" s="209"/>
      <c r="E35" s="235" t="s">
        <v>756</v>
      </c>
      <c r="F35" s="209"/>
      <c r="G35" s="209"/>
      <c r="H35" s="209"/>
      <c r="I35" s="209"/>
      <c r="J35" s="35"/>
    </row>
    <row r="36" spans="1:10" s="36" customFormat="1" ht="12.75" customHeight="1">
      <c r="A36" s="209"/>
      <c r="B36" s="209"/>
      <c r="C36" s="235"/>
      <c r="D36" s="209"/>
      <c r="E36" s="235"/>
      <c r="F36" s="209"/>
      <c r="G36" s="209"/>
      <c r="H36" s="209"/>
      <c r="I36" s="209"/>
      <c r="J36" s="42"/>
    </row>
    <row r="37" spans="1:9" s="36" customFormat="1" ht="15">
      <c r="A37" s="207"/>
      <c r="B37" s="210"/>
      <c r="C37" s="210"/>
      <c r="D37" s="209"/>
      <c r="E37" s="210"/>
      <c r="F37" s="210"/>
      <c r="G37" s="211"/>
      <c r="H37" s="251"/>
      <c r="I37" s="213" t="s">
        <v>949</v>
      </c>
    </row>
    <row r="38" spans="1:9" s="36" customFormat="1" ht="12.75">
      <c r="A38" s="214"/>
      <c r="B38" s="214"/>
      <c r="C38" s="214"/>
      <c r="D38" s="214"/>
      <c r="E38" s="214"/>
      <c r="F38" s="214"/>
      <c r="G38" s="215"/>
      <c r="H38" s="215"/>
      <c r="I38" s="215"/>
    </row>
    <row r="39" spans="1:9" s="36" customFormat="1" ht="12.75">
      <c r="A39" s="700" t="s">
        <v>869</v>
      </c>
      <c r="B39" s="700"/>
      <c r="C39" s="700"/>
      <c r="D39" s="700"/>
      <c r="E39" s="700"/>
      <c r="F39" s="700"/>
      <c r="G39" s="700"/>
      <c r="H39" s="700"/>
      <c r="I39" s="700"/>
    </row>
    <row r="40" spans="1:9" s="36" customFormat="1" ht="12.75">
      <c r="A40" s="214"/>
      <c r="B40" s="214"/>
      <c r="C40" s="214"/>
      <c r="D40" s="214"/>
      <c r="E40" s="214"/>
      <c r="F40" s="214"/>
      <c r="G40" s="215"/>
      <c r="H40" s="215"/>
      <c r="I40" s="215" t="s">
        <v>216</v>
      </c>
    </row>
    <row r="41" spans="1:9" s="36" customFormat="1" ht="12.75">
      <c r="A41" s="701" t="s">
        <v>738</v>
      </c>
      <c r="B41" s="252" t="s">
        <v>739</v>
      </c>
      <c r="C41" s="252" t="s">
        <v>740</v>
      </c>
      <c r="D41" s="701" t="s">
        <v>741</v>
      </c>
      <c r="E41" s="252" t="s">
        <v>742</v>
      </c>
      <c r="F41" s="253" t="s">
        <v>743</v>
      </c>
      <c r="G41" s="704" t="s">
        <v>744</v>
      </c>
      <c r="H41" s="704" t="s">
        <v>745</v>
      </c>
      <c r="I41" s="704" t="s">
        <v>746</v>
      </c>
    </row>
    <row r="42" spans="1:9" s="36" customFormat="1" ht="12.75">
      <c r="A42" s="702"/>
      <c r="B42" s="254" t="s">
        <v>747</v>
      </c>
      <c r="C42" s="254" t="s">
        <v>748</v>
      </c>
      <c r="D42" s="702"/>
      <c r="E42" s="254" t="s">
        <v>749</v>
      </c>
      <c r="F42" s="255" t="s">
        <v>750</v>
      </c>
      <c r="G42" s="705"/>
      <c r="H42" s="705"/>
      <c r="I42" s="705"/>
    </row>
    <row r="43" spans="1:9" s="36" customFormat="1" ht="12.75" customHeight="1">
      <c r="A43" s="703"/>
      <c r="B43" s="256"/>
      <c r="C43" s="256"/>
      <c r="D43" s="703"/>
      <c r="E43" s="256"/>
      <c r="F43" s="257" t="s">
        <v>751</v>
      </c>
      <c r="G43" s="706"/>
      <c r="H43" s="706"/>
      <c r="I43" s="706"/>
    </row>
    <row r="44" spans="1:9" s="36" customFormat="1" ht="12.75" customHeight="1">
      <c r="A44" s="258" t="s">
        <v>111</v>
      </c>
      <c r="B44" s="259" t="s">
        <v>757</v>
      </c>
      <c r="C44" s="259"/>
      <c r="D44" s="258"/>
      <c r="E44" s="259"/>
      <c r="F44" s="260"/>
      <c r="G44" s="261">
        <v>1160008</v>
      </c>
      <c r="H44" s="261">
        <v>212878</v>
      </c>
      <c r="I44" s="261">
        <v>947130</v>
      </c>
    </row>
    <row r="45" spans="1:9" s="36" customFormat="1" ht="12.75" customHeight="1">
      <c r="A45" s="258" t="s">
        <v>112</v>
      </c>
      <c r="B45" s="259" t="s">
        <v>758</v>
      </c>
      <c r="C45" s="259"/>
      <c r="D45" s="258"/>
      <c r="E45" s="259"/>
      <c r="F45" s="260"/>
      <c r="G45" s="261">
        <v>3476285</v>
      </c>
      <c r="H45" s="261">
        <v>637919</v>
      </c>
      <c r="I45" s="261">
        <f>G45-H45</f>
        <v>2838366</v>
      </c>
    </row>
    <row r="46" spans="1:9" s="36" customFormat="1" ht="12.75" customHeight="1">
      <c r="A46" s="258" t="s">
        <v>113</v>
      </c>
      <c r="B46" s="259" t="s">
        <v>759</v>
      </c>
      <c r="C46" s="259">
        <v>665</v>
      </c>
      <c r="D46" s="258"/>
      <c r="E46" s="259"/>
      <c r="F46" s="260"/>
      <c r="G46" s="261">
        <v>11321885</v>
      </c>
      <c r="H46" s="261">
        <v>1135330</v>
      </c>
      <c r="I46" s="261">
        <f>G46-H46</f>
        <v>10186555</v>
      </c>
    </row>
    <row r="47" spans="1:9" s="40" customFormat="1" ht="12.75">
      <c r="A47" s="262"/>
      <c r="B47" s="263" t="s">
        <v>753</v>
      </c>
      <c r="C47" s="264"/>
      <c r="D47" s="263"/>
      <c r="E47" s="264"/>
      <c r="F47" s="265"/>
      <c r="G47" s="266">
        <f>SUM(G44:G46)</f>
        <v>15958178</v>
      </c>
      <c r="H47" s="266">
        <f>SUM(H44:H46)</f>
        <v>1986127</v>
      </c>
      <c r="I47" s="266">
        <f>SUM(I44:I46)</f>
        <v>13972051</v>
      </c>
    </row>
    <row r="48" spans="1:9" s="36" customFormat="1" ht="5.25" customHeight="1">
      <c r="A48" s="236"/>
      <c r="B48" s="214"/>
      <c r="C48" s="237"/>
      <c r="D48" s="214"/>
      <c r="E48" s="237"/>
      <c r="F48" s="238"/>
      <c r="G48" s="215"/>
      <c r="H48" s="215"/>
      <c r="I48" s="215"/>
    </row>
    <row r="49" spans="1:9" s="36" customFormat="1" ht="12.75">
      <c r="A49" s="209" t="s">
        <v>754</v>
      </c>
      <c r="B49" s="214"/>
      <c r="C49" s="232"/>
      <c r="D49" s="211"/>
      <c r="E49" s="233"/>
      <c r="F49" s="267" t="s">
        <v>760</v>
      </c>
      <c r="G49" s="215">
        <f>G8</f>
        <v>149118874</v>
      </c>
      <c r="H49" s="215">
        <f>H8</f>
        <v>0</v>
      </c>
      <c r="I49" s="215">
        <f>I8</f>
        <v>149118874</v>
      </c>
    </row>
    <row r="50" spans="1:9" s="36" customFormat="1" ht="12.75">
      <c r="A50" s="235" t="s">
        <v>755</v>
      </c>
      <c r="B50" s="214"/>
      <c r="C50" s="232"/>
      <c r="D50" s="211"/>
      <c r="E50" s="233"/>
      <c r="F50" s="267" t="s">
        <v>761</v>
      </c>
      <c r="G50" s="215">
        <v>0</v>
      </c>
      <c r="H50" s="215">
        <v>0</v>
      </c>
      <c r="I50" s="215">
        <v>0</v>
      </c>
    </row>
    <row r="51" spans="1:9" s="36" customFormat="1" ht="12.75">
      <c r="A51" s="235" t="s">
        <v>756</v>
      </c>
      <c r="B51" s="214"/>
      <c r="C51" s="232"/>
      <c r="D51" s="211"/>
      <c r="E51" s="233"/>
      <c r="F51" s="267" t="s">
        <v>762</v>
      </c>
      <c r="G51" s="215">
        <f>G47</f>
        <v>15958178</v>
      </c>
      <c r="H51" s="215">
        <f>H47</f>
        <v>1986127</v>
      </c>
      <c r="I51" s="215">
        <f>I47</f>
        <v>13972051</v>
      </c>
    </row>
    <row r="52" spans="1:9" s="36" customFormat="1" ht="12.75">
      <c r="A52" s="207"/>
      <c r="B52" s="214"/>
      <c r="C52" s="696" t="s">
        <v>753</v>
      </c>
      <c r="D52" s="696"/>
      <c r="E52" s="696"/>
      <c r="F52" s="696"/>
      <c r="G52" s="215">
        <f>SUM(G49:G51)</f>
        <v>165077052</v>
      </c>
      <c r="H52" s="215">
        <f>SUM(H49:H51)</f>
        <v>1986127</v>
      </c>
      <c r="I52" s="215">
        <f>SUM(I49:I51)</f>
        <v>163090925</v>
      </c>
    </row>
    <row r="53" spans="1:9" s="36" customFormat="1" ht="12.75">
      <c r="A53" s="214"/>
      <c r="B53" s="214"/>
      <c r="C53" s="232"/>
      <c r="D53" s="211"/>
      <c r="E53" s="233"/>
      <c r="F53" s="211"/>
      <c r="G53" s="215"/>
      <c r="H53" s="215" t="s">
        <v>763</v>
      </c>
      <c r="I53" s="268">
        <f>SUM(I52:I52)</f>
        <v>163090925</v>
      </c>
    </row>
    <row r="54" spans="1:9" s="36" customFormat="1" ht="12.75">
      <c r="A54" s="214"/>
      <c r="B54" s="214"/>
      <c r="C54" s="214"/>
      <c r="D54" s="214"/>
      <c r="E54" s="214"/>
      <c r="F54" s="214"/>
      <c r="G54" s="215"/>
      <c r="H54" s="234"/>
      <c r="I54" s="215"/>
    </row>
    <row r="55" spans="1:9" s="36" customFormat="1" ht="15">
      <c r="A55" s="214"/>
      <c r="B55" s="214"/>
      <c r="C55" s="214"/>
      <c r="D55" s="214"/>
      <c r="E55" s="697" t="s">
        <v>950</v>
      </c>
      <c r="F55" s="697"/>
      <c r="G55" s="697"/>
      <c r="H55" s="697"/>
      <c r="I55" s="697"/>
    </row>
    <row r="56" spans="1:9" ht="12.75">
      <c r="A56" s="269"/>
      <c r="B56" s="269"/>
      <c r="C56" s="214"/>
      <c r="D56" s="250"/>
      <c r="E56" s="214"/>
      <c r="F56" s="214"/>
      <c r="G56" s="214"/>
      <c r="H56" s="214"/>
      <c r="I56" s="214"/>
    </row>
    <row r="57" spans="1:9" ht="15" customHeight="1">
      <c r="A57" s="214"/>
      <c r="B57" s="270"/>
      <c r="C57" s="698" t="s">
        <v>870</v>
      </c>
      <c r="D57" s="698"/>
      <c r="E57" s="698"/>
      <c r="F57" s="698"/>
      <c r="G57" s="698"/>
      <c r="H57" s="214"/>
      <c r="I57" s="214"/>
    </row>
    <row r="58" spans="1:9" ht="15" customHeight="1">
      <c r="A58" s="214"/>
      <c r="B58" s="270"/>
      <c r="C58" s="271"/>
      <c r="D58" s="271"/>
      <c r="E58" s="271"/>
      <c r="F58" s="271"/>
      <c r="G58" s="271"/>
      <c r="H58" s="214"/>
      <c r="I58" s="214"/>
    </row>
    <row r="59" spans="1:9" ht="12.75">
      <c r="A59" s="271"/>
      <c r="B59" s="271"/>
      <c r="C59" s="207"/>
      <c r="D59" s="214"/>
      <c r="E59" s="214"/>
      <c r="F59" s="214"/>
      <c r="G59" s="234" t="s">
        <v>216</v>
      </c>
      <c r="H59" s="214"/>
      <c r="I59" s="214"/>
    </row>
    <row r="60" spans="1:9" s="39" customFormat="1" ht="25.5" customHeight="1">
      <c r="A60" s="272"/>
      <c r="B60" s="690" t="s">
        <v>764</v>
      </c>
      <c r="C60" s="690"/>
      <c r="D60" s="273" t="s">
        <v>765</v>
      </c>
      <c r="E60" s="274" t="s">
        <v>766</v>
      </c>
      <c r="F60" s="693" t="s">
        <v>767</v>
      </c>
      <c r="G60" s="693"/>
      <c r="H60" s="275"/>
      <c r="I60" s="275"/>
    </row>
    <row r="61" spans="1:9" s="50" customFormat="1" ht="29.25" customHeight="1">
      <c r="A61" s="275"/>
      <c r="B61" s="689" t="s">
        <v>768</v>
      </c>
      <c r="C61" s="689"/>
      <c r="D61" s="276">
        <v>500000</v>
      </c>
      <c r="E61" s="276">
        <v>500000</v>
      </c>
      <c r="F61" s="694">
        <v>1</v>
      </c>
      <c r="G61" s="694"/>
      <c r="H61" s="275"/>
      <c r="I61" s="275"/>
    </row>
    <row r="62" spans="1:9" s="39" customFormat="1" ht="29.25" customHeight="1">
      <c r="A62" s="275"/>
      <c r="B62" s="689" t="s">
        <v>769</v>
      </c>
      <c r="C62" s="689"/>
      <c r="D62" s="276">
        <v>900000</v>
      </c>
      <c r="E62" s="276">
        <v>900000</v>
      </c>
      <c r="F62" s="694">
        <v>0.3</v>
      </c>
      <c r="G62" s="694"/>
      <c r="H62" s="275"/>
      <c r="I62" s="275"/>
    </row>
    <row r="63" spans="1:9" s="39" customFormat="1" ht="29.25" customHeight="1">
      <c r="A63" s="275"/>
      <c r="B63" s="691" t="s">
        <v>153</v>
      </c>
      <c r="C63" s="692"/>
      <c r="D63" s="277">
        <f>SUM(D61:D62)</f>
        <v>1400000</v>
      </c>
      <c r="E63" s="277">
        <f>SUM(E61:E62)</f>
        <v>1400000</v>
      </c>
      <c r="F63" s="695"/>
      <c r="G63" s="695"/>
      <c r="H63" s="275"/>
      <c r="I63" s="275"/>
    </row>
    <row r="64" spans="7:9" ht="12.75">
      <c r="G64" s="37"/>
      <c r="H64" s="37"/>
      <c r="I64" s="37"/>
    </row>
    <row r="65" spans="1:9" ht="26.25" customHeight="1">
      <c r="A65" s="36"/>
      <c r="B65" s="36"/>
      <c r="C65" s="49"/>
      <c r="D65" s="36"/>
      <c r="G65" s="37"/>
      <c r="H65" s="37"/>
      <c r="I65" s="37"/>
    </row>
    <row r="66" spans="7:9" ht="12.75">
      <c r="G66" s="37"/>
      <c r="H66" s="37"/>
      <c r="I66" s="37"/>
    </row>
    <row r="67" spans="7:9" ht="12.75">
      <c r="G67" s="37"/>
      <c r="H67" s="37"/>
      <c r="I67" s="37"/>
    </row>
    <row r="68" spans="7:9" ht="12.75">
      <c r="G68" s="37"/>
      <c r="H68" s="37"/>
      <c r="I68" s="37"/>
    </row>
    <row r="69" spans="7:9" ht="27.75" customHeight="1">
      <c r="G69" s="37"/>
      <c r="H69" s="37"/>
      <c r="I69" s="37"/>
    </row>
    <row r="70" spans="7:9" ht="12.75">
      <c r="G70" s="37"/>
      <c r="H70" s="37"/>
      <c r="I70" s="37"/>
    </row>
    <row r="71" spans="7:9" ht="12.75">
      <c r="G71" s="37"/>
      <c r="H71" s="37"/>
      <c r="I71" s="37"/>
    </row>
    <row r="72" spans="7:9" ht="12.75">
      <c r="G72" s="37"/>
      <c r="H72" s="37"/>
      <c r="I72" s="37"/>
    </row>
    <row r="73" spans="7:9" ht="12.75">
      <c r="G73" s="37"/>
      <c r="H73" s="37"/>
      <c r="I73" s="37"/>
    </row>
    <row r="74" spans="7:9" ht="12.75" customHeight="1">
      <c r="G74" s="37"/>
      <c r="H74" s="37"/>
      <c r="I74" s="37"/>
    </row>
    <row r="75" spans="7:9" ht="12.75">
      <c r="G75" s="37"/>
      <c r="H75" s="37"/>
      <c r="I75" s="37"/>
    </row>
    <row r="76" spans="7:9" ht="12.75">
      <c r="G76" s="37"/>
      <c r="H76" s="37"/>
      <c r="I76" s="37"/>
    </row>
    <row r="77" spans="7:9" ht="12.75" customHeight="1">
      <c r="G77" s="37"/>
      <c r="H77" s="37"/>
      <c r="I77" s="37"/>
    </row>
    <row r="78" spans="7:9" ht="12.75">
      <c r="G78" s="37"/>
      <c r="H78" s="37"/>
      <c r="I78" s="37"/>
    </row>
    <row r="79" spans="7:9" ht="12.75">
      <c r="G79" s="37"/>
      <c r="H79" s="37"/>
      <c r="I79" s="37"/>
    </row>
    <row r="80" spans="7:9" ht="12.75">
      <c r="G80" s="37"/>
      <c r="H80" s="37"/>
      <c r="I80" s="37"/>
    </row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 customHeight="1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 customHeight="1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 customHeight="1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6" customFormat="1" ht="12.75" customHeight="1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7" customFormat="1" ht="12.75"/>
    <row r="174" s="37" customFormat="1" ht="12.75"/>
    <row r="175" s="37" customFormat="1" ht="12.75"/>
    <row r="176" s="37" customFormat="1" ht="12.75"/>
    <row r="177" s="37" customFormat="1" ht="12.75"/>
    <row r="178" s="37" customFormat="1" ht="12.75"/>
    <row r="179" s="37" customFormat="1" ht="12.75"/>
    <row r="180" s="37" customFormat="1" ht="12.75"/>
    <row r="181" s="37" customFormat="1" ht="12.75"/>
    <row r="182" s="37" customFormat="1" ht="12.75"/>
    <row r="183" s="37" customFormat="1" ht="12.75"/>
    <row r="184" s="37" customFormat="1" ht="12.75"/>
    <row r="185" s="37" customFormat="1" ht="12.75"/>
    <row r="186" s="37" customFormat="1" ht="12.75"/>
    <row r="187" s="37" customFormat="1" ht="12.75"/>
    <row r="188" s="37" customFormat="1" ht="12.75"/>
    <row r="189" s="37" customFormat="1" ht="12.75"/>
    <row r="190" s="37" customFormat="1" ht="12.75"/>
    <row r="191" s="37" customFormat="1" ht="12.75"/>
    <row r="192" s="37" customFormat="1" ht="12.75"/>
    <row r="193" s="37" customFormat="1" ht="25.5" customHeight="1"/>
    <row r="194" s="37" customFormat="1" ht="12.75"/>
    <row r="195" s="37" customFormat="1" ht="12.75"/>
    <row r="196" s="37" customFormat="1" ht="12.75"/>
    <row r="197" s="37" customFormat="1" ht="12.75"/>
    <row r="198" s="37" customFormat="1" ht="12.75"/>
    <row r="199" s="37" customFormat="1" ht="12.75"/>
    <row r="200" s="37" customFormat="1" ht="12.75"/>
    <row r="201" s="37" customFormat="1" ht="12.75"/>
    <row r="202" s="37" customFormat="1" ht="12.75"/>
    <row r="203" s="37" customFormat="1" ht="12.75"/>
    <row r="204" s="37" customFormat="1" ht="12.75"/>
    <row r="205" s="37" customFormat="1" ht="12.75"/>
    <row r="206" s="37" customFormat="1" ht="12.75"/>
    <row r="207" s="37" customFormat="1" ht="12.75"/>
    <row r="208" s="37" customFormat="1" ht="12.75"/>
    <row r="209" s="37" customFormat="1" ht="12.75"/>
    <row r="210" s="37" customFormat="1" ht="12.75"/>
    <row r="211" s="37" customFormat="1" ht="12.75"/>
    <row r="212" s="37" customFormat="1" ht="12.75"/>
    <row r="213" s="37" customFormat="1" ht="12.75"/>
    <row r="214" s="37" customFormat="1" ht="12.75"/>
    <row r="215" s="37" customFormat="1" ht="12.75"/>
    <row r="216" s="37" customFormat="1" ht="12.75"/>
    <row r="217" s="37" customFormat="1" ht="12.75"/>
    <row r="218" s="37" customFormat="1" ht="12.75"/>
    <row r="219" s="37" customFormat="1" ht="12.75"/>
    <row r="220" s="37" customFormat="1" ht="12.75"/>
    <row r="221" s="37" customFormat="1" ht="12.75"/>
    <row r="222" s="37" customFormat="1" ht="12.75"/>
    <row r="223" s="37" customFormat="1" ht="12.75"/>
    <row r="224" s="37" customFormat="1" ht="12.75"/>
    <row r="225" s="37" customFormat="1" ht="12.75"/>
    <row r="226" s="37" customFormat="1" ht="12.75"/>
    <row r="227" s="37" customFormat="1" ht="12.75"/>
    <row r="228" s="37" customFormat="1" ht="12.75"/>
    <row r="229" s="37" customFormat="1" ht="12.75"/>
    <row r="230" s="37" customFormat="1" ht="12.75"/>
    <row r="231" s="37" customFormat="1" ht="12.75"/>
    <row r="232" s="37" customFormat="1" ht="12.75"/>
    <row r="233" s="37" customFormat="1" ht="12.75"/>
    <row r="234" s="37" customFormat="1" ht="12.75"/>
    <row r="235" s="37" customFormat="1" ht="12.75"/>
    <row r="236" s="37" customFormat="1" ht="12.75"/>
    <row r="237" s="37" customFormat="1" ht="12.75"/>
    <row r="238" s="37" customFormat="1" ht="12.75"/>
    <row r="239" s="37" customFormat="1" ht="12.75"/>
    <row r="240" s="37" customFormat="1" ht="12.75"/>
    <row r="241" s="37" customFormat="1" ht="12.75"/>
    <row r="242" s="37" customFormat="1" ht="12.75"/>
    <row r="243" s="37" customFormat="1" ht="12.75"/>
    <row r="244" s="37" customFormat="1" ht="12.75"/>
    <row r="245" s="37" customFormat="1" ht="12.75"/>
    <row r="246" s="37" customFormat="1" ht="12.75"/>
    <row r="247" s="37" customFormat="1" ht="12.75"/>
    <row r="248" s="37" customFormat="1" ht="12.75"/>
    <row r="249" s="37" customFormat="1" ht="12.75"/>
    <row r="250" s="37" customFormat="1" ht="12.75"/>
    <row r="251" s="37" customFormat="1" ht="12.75"/>
    <row r="252" s="37" customFormat="1" ht="12.75"/>
    <row r="253" s="37" customFormat="1" ht="12.75"/>
    <row r="254" s="37" customFormat="1" ht="12.75"/>
    <row r="255" s="37" customFormat="1" ht="12.75"/>
    <row r="256" s="37" customFormat="1" ht="12.75"/>
    <row r="257" s="37" customFormat="1" ht="12.75"/>
    <row r="258" s="37" customFormat="1" ht="12.75"/>
    <row r="259" s="37" customFormat="1" ht="12.75"/>
    <row r="260" s="37" customFormat="1" ht="12.75"/>
    <row r="261" s="37" customFormat="1" ht="12.75"/>
    <row r="262" s="37" customFormat="1" ht="12.75"/>
    <row r="263" s="37" customFormat="1" ht="12.75"/>
    <row r="264" s="37" customFormat="1" ht="12.75"/>
    <row r="265" s="37" customFormat="1" ht="12.75"/>
    <row r="266" s="37" customFormat="1" ht="12.75"/>
    <row r="267" s="36" customFormat="1" ht="12.75" customHeight="1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</sheetData>
  <sheetProtection/>
  <mergeCells count="38">
    <mergeCell ref="A3:I3"/>
    <mergeCell ref="A5:A7"/>
    <mergeCell ref="D5:D7"/>
    <mergeCell ref="G5:G7"/>
    <mergeCell ref="H5:H7"/>
    <mergeCell ref="I5:I7"/>
    <mergeCell ref="A15:I15"/>
    <mergeCell ref="A17:A19"/>
    <mergeCell ref="D17:D19"/>
    <mergeCell ref="G17:G19"/>
    <mergeCell ref="H17:H19"/>
    <mergeCell ref="I17:I19"/>
    <mergeCell ref="B20:F20"/>
    <mergeCell ref="A27:I27"/>
    <mergeCell ref="A28:I28"/>
    <mergeCell ref="A29:A31"/>
    <mergeCell ref="D29:D31"/>
    <mergeCell ref="G29:G31"/>
    <mergeCell ref="H29:H31"/>
    <mergeCell ref="I29:I31"/>
    <mergeCell ref="C52:F52"/>
    <mergeCell ref="E55:I55"/>
    <mergeCell ref="C57:G57"/>
    <mergeCell ref="B32:F32"/>
    <mergeCell ref="A39:I39"/>
    <mergeCell ref="A41:A43"/>
    <mergeCell ref="D41:D43"/>
    <mergeCell ref="G41:G43"/>
    <mergeCell ref="H41:H43"/>
    <mergeCell ref="I41:I43"/>
    <mergeCell ref="B61:C61"/>
    <mergeCell ref="B62:C62"/>
    <mergeCell ref="B60:C60"/>
    <mergeCell ref="B63:C63"/>
    <mergeCell ref="F60:G60"/>
    <mergeCell ref="F61:G61"/>
    <mergeCell ref="F62:G62"/>
    <mergeCell ref="F63:G6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70" zoomScaleNormal="70" zoomScaleSheetLayoutView="70" workbookViewId="0" topLeftCell="A202">
      <selection activeCell="L44" sqref="L44"/>
    </sheetView>
  </sheetViews>
  <sheetFormatPr defaultColWidth="9.140625" defaultRowHeight="15"/>
  <cols>
    <col min="1" max="1" width="6.7109375" style="361" customWidth="1"/>
    <col min="2" max="2" width="64.00390625" style="361" customWidth="1"/>
    <col min="3" max="5" width="16.57421875" style="361" customWidth="1"/>
    <col min="6" max="6" width="16.57421875" style="362" customWidth="1"/>
    <col min="7" max="7" width="6.7109375" style="361" customWidth="1"/>
    <col min="8" max="8" width="64.00390625" style="361" customWidth="1"/>
    <col min="9" max="10" width="16.57421875" style="361" customWidth="1"/>
    <col min="11" max="11" width="14.421875" style="361" bestFit="1" customWidth="1"/>
    <col min="12" max="12" width="16.57421875" style="362" customWidth="1"/>
    <col min="13" max="13" width="15.7109375" style="361" bestFit="1" customWidth="1"/>
    <col min="14" max="14" width="17.7109375" style="361" customWidth="1"/>
    <col min="15" max="15" width="12.421875" style="361" bestFit="1" customWidth="1"/>
    <col min="16" max="16" width="13.8515625" style="361" bestFit="1" customWidth="1"/>
    <col min="17" max="17" width="9.140625" style="361" customWidth="1"/>
    <col min="18" max="18" width="13.8515625" style="361" bestFit="1" customWidth="1"/>
    <col min="19" max="16384" width="9.140625" style="361" customWidth="1"/>
  </cols>
  <sheetData>
    <row r="1" spans="9:12" ht="15">
      <c r="I1" s="363"/>
      <c r="L1" s="364" t="s">
        <v>906</v>
      </c>
    </row>
    <row r="2" spans="1:11" ht="15">
      <c r="A2" s="711" t="s">
        <v>871</v>
      </c>
      <c r="B2" s="711"/>
      <c r="C2" s="711"/>
      <c r="D2" s="711"/>
      <c r="E2" s="711"/>
      <c r="F2" s="711"/>
      <c r="G2" s="711"/>
      <c r="H2" s="711"/>
      <c r="I2" s="711"/>
      <c r="J2" s="711"/>
      <c r="K2" s="365"/>
    </row>
    <row r="3" spans="9:12" ht="15" thickBot="1">
      <c r="I3" s="366"/>
      <c r="L3" s="366" t="s">
        <v>215</v>
      </c>
    </row>
    <row r="4" spans="1:12" ht="30.75" thickBot="1">
      <c r="A4" s="367"/>
      <c r="B4" s="368" t="s">
        <v>104</v>
      </c>
      <c r="C4" s="369" t="s">
        <v>305</v>
      </c>
      <c r="D4" s="369" t="s">
        <v>843</v>
      </c>
      <c r="E4" s="369" t="s">
        <v>303</v>
      </c>
      <c r="F4" s="370" t="s">
        <v>304</v>
      </c>
      <c r="G4" s="371"/>
      <c r="H4" s="368" t="s">
        <v>105</v>
      </c>
      <c r="I4" s="369" t="str">
        <f>C4</f>
        <v>Eredeti előirányzat </v>
      </c>
      <c r="J4" s="369" t="str">
        <f>D4</f>
        <v>Módosított előirányzta V.</v>
      </c>
      <c r="K4" s="369" t="s">
        <v>303</v>
      </c>
      <c r="L4" s="370" t="s">
        <v>304</v>
      </c>
    </row>
    <row r="5" spans="1:12" ht="15.75" thickBot="1">
      <c r="A5" s="367"/>
      <c r="B5" s="372" t="s">
        <v>155</v>
      </c>
      <c r="C5" s="373">
        <f>+C6+C19+C27+C38</f>
        <v>477308860</v>
      </c>
      <c r="D5" s="374">
        <f>+D6+D19+D27+D38</f>
        <v>676718207</v>
      </c>
      <c r="E5" s="374">
        <f>+E6+E19+E27+E38</f>
        <v>554971587</v>
      </c>
      <c r="F5" s="375">
        <f>+E5/D5</f>
        <v>0.8200925898835761</v>
      </c>
      <c r="G5" s="371"/>
      <c r="H5" s="372" t="s">
        <v>156</v>
      </c>
      <c r="I5" s="376">
        <f aca="true" t="shared" si="0" ref="I5:J11">+I82+I159</f>
        <v>968387008</v>
      </c>
      <c r="J5" s="376">
        <f t="shared" si="0"/>
        <v>1072004637</v>
      </c>
      <c r="K5" s="376">
        <f aca="true" t="shared" si="1" ref="K5:K11">+K82+K159</f>
        <v>540585954</v>
      </c>
      <c r="L5" s="375">
        <f>+K5/J5</f>
        <v>0.5042757608892694</v>
      </c>
    </row>
    <row r="6" spans="1:12" ht="15">
      <c r="A6" s="377" t="s">
        <v>23</v>
      </c>
      <c r="B6" s="378" t="s">
        <v>157</v>
      </c>
      <c r="C6" s="379">
        <f>+C14+C15+C16+C17+C18+C7</f>
        <v>359353950</v>
      </c>
      <c r="D6" s="379">
        <f>+D14+D15+D16+D17+D18+D7</f>
        <v>467784540</v>
      </c>
      <c r="E6" s="379">
        <f>+E14+E15+E16+E17+E18+E7</f>
        <v>391146765</v>
      </c>
      <c r="F6" s="380">
        <f>+E6/D6</f>
        <v>0.8361686450774966</v>
      </c>
      <c r="G6" s="381" t="s">
        <v>23</v>
      </c>
      <c r="H6" s="382" t="s">
        <v>80</v>
      </c>
      <c r="I6" s="383">
        <f t="shared" si="0"/>
        <v>404411189</v>
      </c>
      <c r="J6" s="383">
        <f t="shared" si="0"/>
        <v>473212467</v>
      </c>
      <c r="K6" s="383">
        <f t="shared" si="1"/>
        <v>271193581</v>
      </c>
      <c r="L6" s="380">
        <f>+K6/J6</f>
        <v>0.5730905246839154</v>
      </c>
    </row>
    <row r="7" spans="1:12" ht="30">
      <c r="A7" s="384" t="s">
        <v>111</v>
      </c>
      <c r="B7" s="385" t="s">
        <v>158</v>
      </c>
      <c r="C7" s="386">
        <f>SUM(C8:C13)</f>
        <v>295492000</v>
      </c>
      <c r="D7" s="386">
        <f>SUM(D8:D13)</f>
        <v>295455928</v>
      </c>
      <c r="E7" s="386">
        <f>SUM(E8:E13)</f>
        <v>295455928</v>
      </c>
      <c r="F7" s="387">
        <f>+E7/D7</f>
        <v>1</v>
      </c>
      <c r="G7" s="384" t="s">
        <v>45</v>
      </c>
      <c r="H7" s="388" t="s">
        <v>147</v>
      </c>
      <c r="I7" s="383">
        <f t="shared" si="0"/>
        <v>84308774</v>
      </c>
      <c r="J7" s="383">
        <f t="shared" si="0"/>
        <v>91186080</v>
      </c>
      <c r="K7" s="383">
        <f t="shared" si="1"/>
        <v>44814078</v>
      </c>
      <c r="L7" s="387">
        <f>+K7/J7</f>
        <v>0.4914574461365156</v>
      </c>
    </row>
    <row r="8" spans="1:12" ht="15">
      <c r="A8" s="384"/>
      <c r="B8" s="389" t="s">
        <v>159</v>
      </c>
      <c r="C8" s="386">
        <f aca="true" t="shared" si="2" ref="C8:D18">+C85+C162</f>
        <v>280500000</v>
      </c>
      <c r="D8" s="386">
        <f t="shared" si="2"/>
        <v>280635928</v>
      </c>
      <c r="E8" s="386">
        <f aca="true" t="shared" si="3" ref="E8:E18">+E85+E162</f>
        <v>280635928</v>
      </c>
      <c r="F8" s="387">
        <f>+E8/D8</f>
        <v>1</v>
      </c>
      <c r="G8" s="384" t="s">
        <v>56</v>
      </c>
      <c r="H8" s="388" t="s">
        <v>83</v>
      </c>
      <c r="I8" s="383">
        <f t="shared" si="0"/>
        <v>386290189</v>
      </c>
      <c r="J8" s="383">
        <f t="shared" si="0"/>
        <v>396778078</v>
      </c>
      <c r="K8" s="383">
        <f t="shared" si="1"/>
        <v>174361309</v>
      </c>
      <c r="L8" s="387">
        <f>+K8/J8</f>
        <v>0.4394428993630036</v>
      </c>
    </row>
    <row r="9" spans="1:12" ht="28.5">
      <c r="A9" s="384"/>
      <c r="B9" s="389" t="s">
        <v>160</v>
      </c>
      <c r="C9" s="386">
        <f t="shared" si="2"/>
        <v>0</v>
      </c>
      <c r="D9" s="386">
        <f t="shared" si="2"/>
        <v>0</v>
      </c>
      <c r="E9" s="386">
        <f t="shared" si="3"/>
        <v>0</v>
      </c>
      <c r="F9" s="387"/>
      <c r="G9" s="384" t="s">
        <v>64</v>
      </c>
      <c r="H9" s="388" t="s">
        <v>84</v>
      </c>
      <c r="I9" s="383">
        <f t="shared" si="0"/>
        <v>0</v>
      </c>
      <c r="J9" s="383">
        <f t="shared" si="0"/>
        <v>0</v>
      </c>
      <c r="K9" s="383">
        <f t="shared" si="1"/>
        <v>0</v>
      </c>
      <c r="L9" s="387"/>
    </row>
    <row r="10" spans="1:12" ht="29.25">
      <c r="A10" s="384"/>
      <c r="B10" s="389" t="s">
        <v>161</v>
      </c>
      <c r="C10" s="386">
        <f t="shared" si="2"/>
        <v>0</v>
      </c>
      <c r="D10" s="386">
        <f t="shared" si="2"/>
        <v>0</v>
      </c>
      <c r="E10" s="386">
        <f t="shared" si="3"/>
        <v>0</v>
      </c>
      <c r="F10" s="387"/>
      <c r="G10" s="384" t="s">
        <v>100</v>
      </c>
      <c r="H10" s="388" t="s">
        <v>217</v>
      </c>
      <c r="I10" s="383">
        <f t="shared" si="0"/>
        <v>93376856</v>
      </c>
      <c r="J10" s="383">
        <f t="shared" si="0"/>
        <v>110828012</v>
      </c>
      <c r="K10" s="383">
        <f t="shared" si="1"/>
        <v>50216986</v>
      </c>
      <c r="L10" s="387">
        <f>+K10/J10</f>
        <v>0.4531073425732837</v>
      </c>
    </row>
    <row r="11" spans="1:12" ht="15">
      <c r="A11" s="384"/>
      <c r="B11" s="389" t="s">
        <v>162</v>
      </c>
      <c r="C11" s="386">
        <f t="shared" si="2"/>
        <v>0</v>
      </c>
      <c r="D11" s="386">
        <f t="shared" si="2"/>
        <v>0</v>
      </c>
      <c r="E11" s="386">
        <f t="shared" si="3"/>
        <v>0</v>
      </c>
      <c r="F11" s="387"/>
      <c r="G11" s="384"/>
      <c r="H11" s="390" t="s">
        <v>212</v>
      </c>
      <c r="I11" s="383">
        <f t="shared" si="0"/>
        <v>0</v>
      </c>
      <c r="J11" s="383">
        <f t="shared" si="0"/>
        <v>0</v>
      </c>
      <c r="K11" s="383">
        <f t="shared" si="1"/>
        <v>0</v>
      </c>
      <c r="L11" s="387"/>
    </row>
    <row r="12" spans="1:12" ht="15">
      <c r="A12" s="384"/>
      <c r="B12" s="389" t="s">
        <v>163</v>
      </c>
      <c r="C12" s="386">
        <f t="shared" si="2"/>
        <v>0</v>
      </c>
      <c r="D12" s="386">
        <f t="shared" si="2"/>
        <v>0</v>
      </c>
      <c r="E12" s="386">
        <f t="shared" si="3"/>
        <v>0</v>
      </c>
      <c r="F12" s="387"/>
      <c r="G12" s="384"/>
      <c r="H12" s="384"/>
      <c r="I12" s="391"/>
      <c r="J12" s="391"/>
      <c r="K12" s="391"/>
      <c r="L12" s="387"/>
    </row>
    <row r="13" spans="1:12" ht="15">
      <c r="A13" s="384"/>
      <c r="B13" s="389" t="s">
        <v>164</v>
      </c>
      <c r="C13" s="386">
        <f t="shared" si="2"/>
        <v>14992000</v>
      </c>
      <c r="D13" s="386">
        <f t="shared" si="2"/>
        <v>14820000</v>
      </c>
      <c r="E13" s="386">
        <f t="shared" si="3"/>
        <v>14820000</v>
      </c>
      <c r="F13" s="387">
        <f>+E13/D13</f>
        <v>1</v>
      </c>
      <c r="G13" s="384"/>
      <c r="H13" s="384"/>
      <c r="I13" s="391"/>
      <c r="J13" s="391"/>
      <c r="K13" s="391"/>
      <c r="L13" s="387"/>
    </row>
    <row r="14" spans="1:12" ht="15">
      <c r="A14" s="384" t="s">
        <v>112</v>
      </c>
      <c r="B14" s="392" t="s">
        <v>165</v>
      </c>
      <c r="C14" s="386">
        <f t="shared" si="2"/>
        <v>0</v>
      </c>
      <c r="D14" s="386">
        <f t="shared" si="2"/>
        <v>0</v>
      </c>
      <c r="E14" s="386">
        <f t="shared" si="3"/>
        <v>0</v>
      </c>
      <c r="F14" s="387"/>
      <c r="G14" s="384"/>
      <c r="H14" s="384"/>
      <c r="I14" s="391"/>
      <c r="J14" s="391"/>
      <c r="K14" s="391"/>
      <c r="L14" s="387"/>
    </row>
    <row r="15" spans="1:12" ht="30">
      <c r="A15" s="384" t="s">
        <v>113</v>
      </c>
      <c r="B15" s="392" t="s">
        <v>166</v>
      </c>
      <c r="C15" s="386">
        <f t="shared" si="2"/>
        <v>0</v>
      </c>
      <c r="D15" s="386">
        <f t="shared" si="2"/>
        <v>0</v>
      </c>
      <c r="E15" s="386">
        <f t="shared" si="3"/>
        <v>0</v>
      </c>
      <c r="F15" s="387"/>
      <c r="G15" s="384"/>
      <c r="H15" s="384"/>
      <c r="I15" s="391"/>
      <c r="J15" s="391"/>
      <c r="K15" s="391"/>
      <c r="L15" s="387"/>
    </row>
    <row r="16" spans="1:12" ht="30">
      <c r="A16" s="384" t="s">
        <v>114</v>
      </c>
      <c r="B16" s="392" t="s">
        <v>167</v>
      </c>
      <c r="C16" s="386">
        <f t="shared" si="2"/>
        <v>0</v>
      </c>
      <c r="D16" s="386">
        <f t="shared" si="2"/>
        <v>0</v>
      </c>
      <c r="E16" s="386">
        <f t="shared" si="3"/>
        <v>0</v>
      </c>
      <c r="F16" s="387"/>
      <c r="G16" s="384"/>
      <c r="H16" s="384"/>
      <c r="I16" s="391"/>
      <c r="J16" s="391"/>
      <c r="K16" s="391"/>
      <c r="L16" s="387"/>
    </row>
    <row r="17" spans="1:12" ht="30">
      <c r="A17" s="384" t="s">
        <v>115</v>
      </c>
      <c r="B17" s="392" t="s">
        <v>168</v>
      </c>
      <c r="C17" s="386">
        <f t="shared" si="2"/>
        <v>0</v>
      </c>
      <c r="D17" s="386">
        <f t="shared" si="2"/>
        <v>0</v>
      </c>
      <c r="E17" s="386">
        <f t="shared" si="3"/>
        <v>0</v>
      </c>
      <c r="F17" s="387"/>
      <c r="G17" s="384"/>
      <c r="H17" s="384"/>
      <c r="I17" s="391"/>
      <c r="J17" s="391"/>
      <c r="K17" s="391"/>
      <c r="L17" s="387"/>
    </row>
    <row r="18" spans="1:12" ht="30">
      <c r="A18" s="384" t="s">
        <v>116</v>
      </c>
      <c r="B18" s="392" t="s">
        <v>169</v>
      </c>
      <c r="C18" s="386">
        <f t="shared" si="2"/>
        <v>63861950</v>
      </c>
      <c r="D18" s="386">
        <f t="shared" si="2"/>
        <v>172328612</v>
      </c>
      <c r="E18" s="386">
        <f t="shared" si="3"/>
        <v>95690837</v>
      </c>
      <c r="F18" s="387">
        <f>+E18/D18</f>
        <v>0.5552811914947705</v>
      </c>
      <c r="G18" s="384"/>
      <c r="H18" s="384"/>
      <c r="I18" s="391"/>
      <c r="J18" s="391"/>
      <c r="K18" s="391"/>
      <c r="L18" s="387"/>
    </row>
    <row r="19" spans="1:12" ht="15">
      <c r="A19" s="393" t="s">
        <v>45</v>
      </c>
      <c r="B19" s="394" t="s">
        <v>9</v>
      </c>
      <c r="C19" s="395">
        <f>SUM(C20:C26)</f>
        <v>0</v>
      </c>
      <c r="D19" s="395">
        <f>SUM(D20:D26)</f>
        <v>0</v>
      </c>
      <c r="E19" s="395">
        <f>SUM(E20:E26)</f>
        <v>0</v>
      </c>
      <c r="F19" s="396"/>
      <c r="G19" s="397"/>
      <c r="H19" s="384"/>
      <c r="I19" s="391"/>
      <c r="J19" s="391"/>
      <c r="K19" s="391"/>
      <c r="L19" s="396"/>
    </row>
    <row r="20" spans="1:12" ht="15">
      <c r="A20" s="393"/>
      <c r="B20" s="397" t="s">
        <v>140</v>
      </c>
      <c r="C20" s="386">
        <f aca="true" t="shared" si="4" ref="C20:D26">+C97+C174</f>
        <v>0</v>
      </c>
      <c r="D20" s="386">
        <f t="shared" si="4"/>
        <v>0</v>
      </c>
      <c r="E20" s="386">
        <f aca="true" t="shared" si="5" ref="E20:E26">+E97+E174</f>
        <v>0</v>
      </c>
      <c r="F20" s="387"/>
      <c r="G20" s="397"/>
      <c r="H20" s="384"/>
      <c r="I20" s="391"/>
      <c r="J20" s="391"/>
      <c r="K20" s="391"/>
      <c r="L20" s="387"/>
    </row>
    <row r="21" spans="1:12" ht="15">
      <c r="A21" s="393"/>
      <c r="B21" s="397" t="s">
        <v>141</v>
      </c>
      <c r="C21" s="386">
        <f t="shared" si="4"/>
        <v>0</v>
      </c>
      <c r="D21" s="386">
        <f t="shared" si="4"/>
        <v>0</v>
      </c>
      <c r="E21" s="386">
        <f t="shared" si="5"/>
        <v>0</v>
      </c>
      <c r="F21" s="387"/>
      <c r="G21" s="397"/>
      <c r="H21" s="384"/>
      <c r="I21" s="391"/>
      <c r="J21" s="391"/>
      <c r="K21" s="391"/>
      <c r="L21" s="387"/>
    </row>
    <row r="22" spans="1:12" ht="15">
      <c r="A22" s="393"/>
      <c r="B22" s="397" t="s">
        <v>142</v>
      </c>
      <c r="C22" s="386">
        <f t="shared" si="4"/>
        <v>0</v>
      </c>
      <c r="D22" s="386">
        <f t="shared" si="4"/>
        <v>0</v>
      </c>
      <c r="E22" s="386">
        <f t="shared" si="5"/>
        <v>0</v>
      </c>
      <c r="F22" s="387"/>
      <c r="G22" s="397"/>
      <c r="H22" s="384"/>
      <c r="I22" s="391"/>
      <c r="J22" s="391"/>
      <c r="K22" s="391"/>
      <c r="L22" s="387"/>
    </row>
    <row r="23" spans="1:12" ht="15">
      <c r="A23" s="393"/>
      <c r="B23" s="397" t="s">
        <v>143</v>
      </c>
      <c r="C23" s="386">
        <f t="shared" si="4"/>
        <v>0</v>
      </c>
      <c r="D23" s="386">
        <f t="shared" si="4"/>
        <v>0</v>
      </c>
      <c r="E23" s="386">
        <f t="shared" si="5"/>
        <v>0</v>
      </c>
      <c r="F23" s="387"/>
      <c r="G23" s="397"/>
      <c r="H23" s="384"/>
      <c r="I23" s="391"/>
      <c r="J23" s="391"/>
      <c r="K23" s="391"/>
      <c r="L23" s="387"/>
    </row>
    <row r="24" spans="1:12" ht="15">
      <c r="A24" s="393"/>
      <c r="B24" s="397" t="s">
        <v>144</v>
      </c>
      <c r="C24" s="386">
        <f t="shared" si="4"/>
        <v>0</v>
      </c>
      <c r="D24" s="386">
        <f t="shared" si="4"/>
        <v>0</v>
      </c>
      <c r="E24" s="386">
        <f t="shared" si="5"/>
        <v>0</v>
      </c>
      <c r="F24" s="387"/>
      <c r="G24" s="397"/>
      <c r="H24" s="384"/>
      <c r="I24" s="391"/>
      <c r="J24" s="391"/>
      <c r="K24" s="391"/>
      <c r="L24" s="387"/>
    </row>
    <row r="25" spans="1:12" ht="15">
      <c r="A25" s="393"/>
      <c r="B25" s="397" t="s">
        <v>145</v>
      </c>
      <c r="C25" s="386">
        <f t="shared" si="4"/>
        <v>0</v>
      </c>
      <c r="D25" s="386">
        <f t="shared" si="4"/>
        <v>0</v>
      </c>
      <c r="E25" s="386">
        <f t="shared" si="5"/>
        <v>0</v>
      </c>
      <c r="F25" s="387"/>
      <c r="G25" s="397"/>
      <c r="H25" s="384"/>
      <c r="I25" s="391"/>
      <c r="J25" s="391"/>
      <c r="K25" s="391"/>
      <c r="L25" s="387"/>
    </row>
    <row r="26" spans="1:12" ht="15">
      <c r="A26" s="393"/>
      <c r="B26" s="397" t="s">
        <v>146</v>
      </c>
      <c r="C26" s="386">
        <f t="shared" si="4"/>
        <v>0</v>
      </c>
      <c r="D26" s="386">
        <f t="shared" si="4"/>
        <v>0</v>
      </c>
      <c r="E26" s="386">
        <f t="shared" si="5"/>
        <v>0</v>
      </c>
      <c r="F26" s="387"/>
      <c r="G26" s="397"/>
      <c r="H26" s="384"/>
      <c r="I26" s="391"/>
      <c r="J26" s="391"/>
      <c r="K26" s="391"/>
      <c r="L26" s="387"/>
    </row>
    <row r="27" spans="1:12" ht="15">
      <c r="A27" s="393" t="s">
        <v>56</v>
      </c>
      <c r="B27" s="394" t="s">
        <v>170</v>
      </c>
      <c r="C27" s="386">
        <f>SUM(C28:C37)</f>
        <v>12332860</v>
      </c>
      <c r="D27" s="386">
        <f>SUM(D28:D37)</f>
        <v>13987668</v>
      </c>
      <c r="E27" s="386">
        <f>SUM(E28:E37)</f>
        <v>10388455</v>
      </c>
      <c r="F27" s="387">
        <f>+E27/D27</f>
        <v>0.7426867008853799</v>
      </c>
      <c r="G27" s="397"/>
      <c r="H27" s="384"/>
      <c r="I27" s="391"/>
      <c r="J27" s="391"/>
      <c r="K27" s="391"/>
      <c r="L27" s="387"/>
    </row>
    <row r="28" spans="1:12" ht="15">
      <c r="A28" s="393"/>
      <c r="B28" s="389" t="s">
        <v>171</v>
      </c>
      <c r="C28" s="386">
        <f aca="true" t="shared" si="6" ref="C28:D37">+C105+C182</f>
        <v>100000</v>
      </c>
      <c r="D28" s="386">
        <f t="shared" si="6"/>
        <v>100000</v>
      </c>
      <c r="E28" s="386">
        <f aca="true" t="shared" si="7" ref="E28:E37">+E105+E182</f>
        <v>0</v>
      </c>
      <c r="F28" s="387">
        <f>+E28/D28</f>
        <v>0</v>
      </c>
      <c r="G28" s="397"/>
      <c r="H28" s="384"/>
      <c r="I28" s="391"/>
      <c r="J28" s="391"/>
      <c r="K28" s="391"/>
      <c r="L28" s="387"/>
    </row>
    <row r="29" spans="1:12" ht="15">
      <c r="A29" s="393"/>
      <c r="B29" s="389" t="s">
        <v>172</v>
      </c>
      <c r="C29" s="386">
        <f t="shared" si="6"/>
        <v>4000000</v>
      </c>
      <c r="D29" s="386">
        <f t="shared" si="6"/>
        <v>4177800</v>
      </c>
      <c r="E29" s="386">
        <f t="shared" si="7"/>
        <v>707800</v>
      </c>
      <c r="F29" s="387">
        <f>+E29/D29</f>
        <v>0.16941931159940637</v>
      </c>
      <c r="G29" s="397"/>
      <c r="H29" s="384"/>
      <c r="I29" s="391"/>
      <c r="J29" s="391"/>
      <c r="K29" s="391"/>
      <c r="L29" s="387"/>
    </row>
    <row r="30" spans="1:12" ht="15">
      <c r="A30" s="393"/>
      <c r="B30" s="389" t="s">
        <v>173</v>
      </c>
      <c r="C30" s="386">
        <f t="shared" si="6"/>
        <v>8232860</v>
      </c>
      <c r="D30" s="386">
        <f t="shared" si="6"/>
        <v>8506302</v>
      </c>
      <c r="E30" s="386">
        <f t="shared" si="7"/>
        <v>8477089</v>
      </c>
      <c r="F30" s="387">
        <f>+E30/D30</f>
        <v>0.9965657226841934</v>
      </c>
      <c r="G30" s="397"/>
      <c r="H30" s="384"/>
      <c r="I30" s="391"/>
      <c r="J30" s="391"/>
      <c r="K30" s="391"/>
      <c r="L30" s="387"/>
    </row>
    <row r="31" spans="1:12" ht="15">
      <c r="A31" s="393"/>
      <c r="B31" s="389" t="s">
        <v>174</v>
      </c>
      <c r="C31" s="386">
        <f t="shared" si="6"/>
        <v>0</v>
      </c>
      <c r="D31" s="386">
        <f t="shared" si="6"/>
        <v>0</v>
      </c>
      <c r="E31" s="386">
        <f t="shared" si="7"/>
        <v>0</v>
      </c>
      <c r="F31" s="387"/>
      <c r="G31" s="397"/>
      <c r="H31" s="384"/>
      <c r="I31" s="391"/>
      <c r="J31" s="391"/>
      <c r="K31" s="391"/>
      <c r="L31" s="387"/>
    </row>
    <row r="32" spans="1:12" ht="15">
      <c r="A32" s="393"/>
      <c r="B32" s="389" t="s">
        <v>175</v>
      </c>
      <c r="C32" s="386">
        <f t="shared" si="6"/>
        <v>0</v>
      </c>
      <c r="D32" s="386">
        <f t="shared" si="6"/>
        <v>0</v>
      </c>
      <c r="E32" s="386">
        <f t="shared" si="7"/>
        <v>0</v>
      </c>
      <c r="F32" s="387"/>
      <c r="G32" s="397"/>
      <c r="H32" s="384"/>
      <c r="I32" s="391"/>
      <c r="J32" s="391"/>
      <c r="K32" s="391"/>
      <c r="L32" s="387"/>
    </row>
    <row r="33" spans="1:12" ht="15">
      <c r="A33" s="393"/>
      <c r="B33" s="389" t="s">
        <v>176</v>
      </c>
      <c r="C33" s="386">
        <f t="shared" si="6"/>
        <v>0</v>
      </c>
      <c r="D33" s="386">
        <f t="shared" si="6"/>
        <v>0</v>
      </c>
      <c r="E33" s="386">
        <f t="shared" si="7"/>
        <v>0</v>
      </c>
      <c r="F33" s="387"/>
      <c r="G33" s="397"/>
      <c r="H33" s="384"/>
      <c r="I33" s="391"/>
      <c r="J33" s="391"/>
      <c r="K33" s="391"/>
      <c r="L33" s="387"/>
    </row>
    <row r="34" spans="1:12" ht="15">
      <c r="A34" s="393"/>
      <c r="B34" s="389" t="s">
        <v>177</v>
      </c>
      <c r="C34" s="386">
        <f t="shared" si="6"/>
        <v>0</v>
      </c>
      <c r="D34" s="386">
        <f t="shared" si="6"/>
        <v>0</v>
      </c>
      <c r="E34" s="386">
        <f t="shared" si="7"/>
        <v>0</v>
      </c>
      <c r="F34" s="387"/>
      <c r="G34" s="397"/>
      <c r="H34" s="384"/>
      <c r="I34" s="391"/>
      <c r="J34" s="391"/>
      <c r="K34" s="391"/>
      <c r="L34" s="387"/>
    </row>
    <row r="35" spans="1:12" ht="15">
      <c r="A35" s="393"/>
      <c r="B35" s="389" t="s">
        <v>178</v>
      </c>
      <c r="C35" s="386">
        <f t="shared" si="6"/>
        <v>0</v>
      </c>
      <c r="D35" s="386">
        <f t="shared" si="6"/>
        <v>0</v>
      </c>
      <c r="E35" s="386">
        <f t="shared" si="7"/>
        <v>0</v>
      </c>
      <c r="F35" s="387"/>
      <c r="G35" s="397"/>
      <c r="H35" s="384"/>
      <c r="I35" s="391"/>
      <c r="J35" s="391"/>
      <c r="K35" s="391"/>
      <c r="L35" s="387"/>
    </row>
    <row r="36" spans="1:12" ht="15">
      <c r="A36" s="393"/>
      <c r="B36" s="389" t="s">
        <v>179</v>
      </c>
      <c r="C36" s="386">
        <f t="shared" si="6"/>
        <v>0</v>
      </c>
      <c r="D36" s="386">
        <f t="shared" si="6"/>
        <v>1000061</v>
      </c>
      <c r="E36" s="386">
        <f t="shared" si="7"/>
        <v>1000061</v>
      </c>
      <c r="F36" s="387">
        <f>+E36/D36</f>
        <v>1</v>
      </c>
      <c r="G36" s="397"/>
      <c r="H36" s="384"/>
      <c r="I36" s="391"/>
      <c r="J36" s="391"/>
      <c r="K36" s="391"/>
      <c r="L36" s="387"/>
    </row>
    <row r="37" spans="1:12" ht="15">
      <c r="A37" s="393"/>
      <c r="B37" s="389" t="s">
        <v>180</v>
      </c>
      <c r="C37" s="386">
        <f t="shared" si="6"/>
        <v>0</v>
      </c>
      <c r="D37" s="386">
        <f t="shared" si="6"/>
        <v>203505</v>
      </c>
      <c r="E37" s="386">
        <f t="shared" si="7"/>
        <v>203505</v>
      </c>
      <c r="F37" s="387">
        <f>+E37/D37</f>
        <v>1</v>
      </c>
      <c r="G37" s="397"/>
      <c r="H37" s="384"/>
      <c r="I37" s="391"/>
      <c r="J37" s="391"/>
      <c r="K37" s="391"/>
      <c r="L37" s="387"/>
    </row>
    <row r="38" spans="1:12" ht="15">
      <c r="A38" s="393" t="s">
        <v>64</v>
      </c>
      <c r="B38" s="394" t="s">
        <v>181</v>
      </c>
      <c r="C38" s="386">
        <f>SUM(C39:C41)</f>
        <v>105622050</v>
      </c>
      <c r="D38" s="386">
        <f>SUM(D39:D41)</f>
        <v>194945999</v>
      </c>
      <c r="E38" s="386">
        <f>SUM(E39:E41)</f>
        <v>153436367</v>
      </c>
      <c r="F38" s="387">
        <f>+E38/D38</f>
        <v>0.7870711262968777</v>
      </c>
      <c r="G38" s="397"/>
      <c r="H38" s="384"/>
      <c r="I38" s="391"/>
      <c r="J38" s="391"/>
      <c r="K38" s="391"/>
      <c r="L38" s="387"/>
    </row>
    <row r="39" spans="1:12" ht="28.5">
      <c r="A39" s="397"/>
      <c r="B39" s="389" t="s">
        <v>182</v>
      </c>
      <c r="C39" s="386">
        <f aca="true" t="shared" si="8" ref="C39:D41">+C116+C193</f>
        <v>0</v>
      </c>
      <c r="D39" s="386">
        <f t="shared" si="8"/>
        <v>0</v>
      </c>
      <c r="E39" s="386">
        <f>+E116+E193</f>
        <v>0</v>
      </c>
      <c r="F39" s="387"/>
      <c r="G39" s="397"/>
      <c r="H39" s="384"/>
      <c r="I39" s="391"/>
      <c r="J39" s="391"/>
      <c r="K39" s="391"/>
      <c r="L39" s="387"/>
    </row>
    <row r="40" spans="1:12" ht="28.5">
      <c r="A40" s="397"/>
      <c r="B40" s="389" t="s">
        <v>183</v>
      </c>
      <c r="C40" s="386">
        <f t="shared" si="8"/>
        <v>0</v>
      </c>
      <c r="D40" s="386">
        <f t="shared" si="8"/>
        <v>0</v>
      </c>
      <c r="E40" s="386">
        <f>+E117+E194</f>
        <v>0</v>
      </c>
      <c r="F40" s="387"/>
      <c r="G40" s="397"/>
      <c r="H40" s="384"/>
      <c r="I40" s="391"/>
      <c r="J40" s="391"/>
      <c r="K40" s="391"/>
      <c r="L40" s="387"/>
    </row>
    <row r="41" spans="1:12" ht="15.75" thickBot="1">
      <c r="A41" s="398"/>
      <c r="B41" s="399" t="s">
        <v>184</v>
      </c>
      <c r="C41" s="386">
        <f t="shared" si="8"/>
        <v>105622050</v>
      </c>
      <c r="D41" s="400">
        <f t="shared" si="8"/>
        <v>194945999</v>
      </c>
      <c r="E41" s="400">
        <f>+E118+E195</f>
        <v>153436367</v>
      </c>
      <c r="F41" s="401">
        <f>+E41/D41</f>
        <v>0.7870711262968777</v>
      </c>
      <c r="G41" s="398"/>
      <c r="H41" s="402"/>
      <c r="I41" s="403"/>
      <c r="J41" s="403"/>
      <c r="K41" s="403"/>
      <c r="L41" s="401"/>
    </row>
    <row r="42" spans="1:12" ht="15.75" thickBot="1">
      <c r="A42" s="368"/>
      <c r="B42" s="372" t="s">
        <v>185</v>
      </c>
      <c r="C42" s="373">
        <f>+C43+C49+C55</f>
        <v>81052989</v>
      </c>
      <c r="D42" s="373">
        <f>+D43+D49+D55</f>
        <v>89554702</v>
      </c>
      <c r="E42" s="373">
        <f>+E43+E49+E55</f>
        <v>88335651</v>
      </c>
      <c r="F42" s="404">
        <f>+E42/D42</f>
        <v>0.9863876382504182</v>
      </c>
      <c r="G42" s="368"/>
      <c r="H42" s="372" t="s">
        <v>186</v>
      </c>
      <c r="I42" s="373">
        <f>SUM(I43:I45)</f>
        <v>184485867</v>
      </c>
      <c r="J42" s="373">
        <f>SUM(J43:J45)</f>
        <v>249259804</v>
      </c>
      <c r="K42" s="373">
        <f>SUM(K43:K45)</f>
        <v>151498358</v>
      </c>
      <c r="L42" s="404">
        <f>+K42/J42</f>
        <v>0.6077929757178177</v>
      </c>
    </row>
    <row r="43" spans="1:12" ht="15">
      <c r="A43" s="405" t="s">
        <v>100</v>
      </c>
      <c r="B43" s="406" t="s">
        <v>187</v>
      </c>
      <c r="C43" s="407">
        <f>SUM(C44:C48)</f>
        <v>80952989</v>
      </c>
      <c r="D43" s="379">
        <f>SUM(D44:D48)</f>
        <v>89418702</v>
      </c>
      <c r="E43" s="379">
        <f>SUM(E44:E48)</f>
        <v>88279601</v>
      </c>
      <c r="F43" s="380">
        <f>+E43/D43</f>
        <v>0.9872610429974705</v>
      </c>
      <c r="G43" s="405" t="s">
        <v>188</v>
      </c>
      <c r="H43" s="408" t="s">
        <v>131</v>
      </c>
      <c r="I43" s="383">
        <f aca="true" t="shared" si="9" ref="I43:J45">+I120+I197</f>
        <v>183215867</v>
      </c>
      <c r="J43" s="383">
        <f t="shared" si="9"/>
        <v>248645647</v>
      </c>
      <c r="K43" s="383">
        <f>+K120+K197</f>
        <v>150884201</v>
      </c>
      <c r="L43" s="380">
        <f>+K43/J43</f>
        <v>0.6068242208157378</v>
      </c>
    </row>
    <row r="44" spans="1:12" ht="15">
      <c r="A44" s="393"/>
      <c r="B44" s="389" t="s">
        <v>189</v>
      </c>
      <c r="C44" s="386">
        <f aca="true" t="shared" si="10" ref="C44:D48">+C121+C198</f>
        <v>0</v>
      </c>
      <c r="D44" s="379">
        <f t="shared" si="10"/>
        <v>0</v>
      </c>
      <c r="E44" s="379">
        <f>+E121+E198</f>
        <v>0</v>
      </c>
      <c r="F44" s="380"/>
      <c r="G44" s="405" t="s">
        <v>190</v>
      </c>
      <c r="H44" s="409" t="s">
        <v>87</v>
      </c>
      <c r="I44" s="383">
        <f t="shared" si="9"/>
        <v>1270000</v>
      </c>
      <c r="J44" s="383">
        <f t="shared" si="9"/>
        <v>0</v>
      </c>
      <c r="K44" s="383">
        <f>+K121+K198</f>
        <v>0</v>
      </c>
      <c r="L44" s="380"/>
    </row>
    <row r="45" spans="1:12" ht="28.5">
      <c r="A45" s="393"/>
      <c r="B45" s="389" t="s">
        <v>191</v>
      </c>
      <c r="C45" s="386">
        <f t="shared" si="10"/>
        <v>0</v>
      </c>
      <c r="D45" s="379">
        <f t="shared" si="10"/>
        <v>0</v>
      </c>
      <c r="E45" s="379">
        <f>+E122+E199</f>
        <v>0</v>
      </c>
      <c r="F45" s="380"/>
      <c r="G45" s="405" t="s">
        <v>192</v>
      </c>
      <c r="H45" s="409" t="s">
        <v>90</v>
      </c>
      <c r="I45" s="383">
        <f t="shared" si="9"/>
        <v>0</v>
      </c>
      <c r="J45" s="383">
        <f t="shared" si="9"/>
        <v>614157</v>
      </c>
      <c r="K45" s="383">
        <f>+K122+K199</f>
        <v>614157</v>
      </c>
      <c r="L45" s="380">
        <f>+K45/J45</f>
        <v>1</v>
      </c>
    </row>
    <row r="46" spans="1:12" ht="28.5">
      <c r="A46" s="393"/>
      <c r="B46" s="389" t="s">
        <v>193</v>
      </c>
      <c r="C46" s="386">
        <f t="shared" si="10"/>
        <v>0</v>
      </c>
      <c r="D46" s="386">
        <f t="shared" si="10"/>
        <v>0</v>
      </c>
      <c r="E46" s="386">
        <f>+E123+E200</f>
        <v>0</v>
      </c>
      <c r="F46" s="387"/>
      <c r="G46" s="410"/>
      <c r="H46" s="411"/>
      <c r="I46" s="386"/>
      <c r="J46" s="386"/>
      <c r="K46" s="386"/>
      <c r="L46" s="387"/>
    </row>
    <row r="47" spans="1:12" ht="28.5">
      <c r="A47" s="393"/>
      <c r="B47" s="389" t="s">
        <v>194</v>
      </c>
      <c r="C47" s="386">
        <f t="shared" si="10"/>
        <v>0</v>
      </c>
      <c r="D47" s="386">
        <f t="shared" si="10"/>
        <v>0</v>
      </c>
      <c r="E47" s="386">
        <f>+E124+E201</f>
        <v>0</v>
      </c>
      <c r="F47" s="387"/>
      <c r="G47" s="410"/>
      <c r="H47" s="411"/>
      <c r="I47" s="386"/>
      <c r="J47" s="386"/>
      <c r="K47" s="386"/>
      <c r="L47" s="387"/>
    </row>
    <row r="48" spans="1:12" ht="28.5">
      <c r="A48" s="393"/>
      <c r="B48" s="389" t="s">
        <v>195</v>
      </c>
      <c r="C48" s="386">
        <f t="shared" si="10"/>
        <v>80952989</v>
      </c>
      <c r="D48" s="386">
        <f t="shared" si="10"/>
        <v>89418702</v>
      </c>
      <c r="E48" s="386">
        <f>+E125+E202</f>
        <v>88279601</v>
      </c>
      <c r="F48" s="387">
        <f>+E48/D48</f>
        <v>0.9872610429974705</v>
      </c>
      <c r="G48" s="410"/>
      <c r="H48" s="411"/>
      <c r="I48" s="386"/>
      <c r="J48" s="386"/>
      <c r="K48" s="386"/>
      <c r="L48" s="387"/>
    </row>
    <row r="49" spans="1:12" ht="15">
      <c r="A49" s="393" t="s">
        <v>188</v>
      </c>
      <c r="B49" s="388" t="s">
        <v>39</v>
      </c>
      <c r="C49" s="386">
        <f>SUM(C50:C54)</f>
        <v>0</v>
      </c>
      <c r="D49" s="386">
        <f>SUM(D50:D54)</f>
        <v>36000</v>
      </c>
      <c r="E49" s="386">
        <f>SUM(E50:E54)</f>
        <v>36000</v>
      </c>
      <c r="F49" s="387">
        <f>+E49/D49</f>
        <v>1</v>
      </c>
      <c r="G49" s="410"/>
      <c r="H49" s="411"/>
      <c r="I49" s="386"/>
      <c r="J49" s="386"/>
      <c r="K49" s="386"/>
      <c r="L49" s="387"/>
    </row>
    <row r="50" spans="1:12" ht="15">
      <c r="A50" s="393"/>
      <c r="B50" s="389" t="s">
        <v>196</v>
      </c>
      <c r="C50" s="386">
        <f aca="true" t="shared" si="11" ref="C50:D54">+C127+C204</f>
        <v>0</v>
      </c>
      <c r="D50" s="386">
        <f t="shared" si="11"/>
        <v>0</v>
      </c>
      <c r="E50" s="386">
        <f>+E127+E204</f>
        <v>0</v>
      </c>
      <c r="F50" s="387"/>
      <c r="G50" s="410"/>
      <c r="H50" s="411"/>
      <c r="I50" s="386"/>
      <c r="J50" s="386"/>
      <c r="K50" s="386"/>
      <c r="L50" s="387"/>
    </row>
    <row r="51" spans="1:12" ht="15">
      <c r="A51" s="393"/>
      <c r="B51" s="389" t="s">
        <v>197</v>
      </c>
      <c r="C51" s="386">
        <f t="shared" si="11"/>
        <v>0</v>
      </c>
      <c r="D51" s="386">
        <f t="shared" si="11"/>
        <v>0</v>
      </c>
      <c r="E51" s="386">
        <f>+E128+E205</f>
        <v>0</v>
      </c>
      <c r="F51" s="387"/>
      <c r="G51" s="410"/>
      <c r="H51" s="411"/>
      <c r="I51" s="386"/>
      <c r="J51" s="386"/>
      <c r="K51" s="386"/>
      <c r="L51" s="387"/>
    </row>
    <row r="52" spans="1:12" ht="15">
      <c r="A52" s="393"/>
      <c r="B52" s="389" t="s">
        <v>198</v>
      </c>
      <c r="C52" s="386">
        <f t="shared" si="11"/>
        <v>0</v>
      </c>
      <c r="D52" s="386">
        <f t="shared" si="11"/>
        <v>36000</v>
      </c>
      <c r="E52" s="386">
        <f>+E129+E206</f>
        <v>36000</v>
      </c>
      <c r="F52" s="387">
        <f>+E52/D52</f>
        <v>1</v>
      </c>
      <c r="G52" s="410"/>
      <c r="H52" s="411"/>
      <c r="I52" s="386"/>
      <c r="J52" s="386"/>
      <c r="K52" s="386"/>
      <c r="L52" s="387"/>
    </row>
    <row r="53" spans="1:12" ht="15">
      <c r="A53" s="393"/>
      <c r="B53" s="389" t="s">
        <v>199</v>
      </c>
      <c r="C53" s="386">
        <f t="shared" si="11"/>
        <v>0</v>
      </c>
      <c r="D53" s="386">
        <f t="shared" si="11"/>
        <v>0</v>
      </c>
      <c r="E53" s="386">
        <f>+E130+E207</f>
        <v>0</v>
      </c>
      <c r="F53" s="387"/>
      <c r="G53" s="410"/>
      <c r="H53" s="411"/>
      <c r="I53" s="386"/>
      <c r="J53" s="386"/>
      <c r="K53" s="386"/>
      <c r="L53" s="387"/>
    </row>
    <row r="54" spans="1:12" ht="15">
      <c r="A54" s="393"/>
      <c r="B54" s="389" t="s">
        <v>200</v>
      </c>
      <c r="C54" s="386">
        <f t="shared" si="11"/>
        <v>0</v>
      </c>
      <c r="D54" s="386">
        <f t="shared" si="11"/>
        <v>0</v>
      </c>
      <c r="E54" s="386">
        <f>+E131+E208</f>
        <v>0</v>
      </c>
      <c r="F54" s="387"/>
      <c r="G54" s="410"/>
      <c r="H54" s="411"/>
      <c r="I54" s="386"/>
      <c r="J54" s="386"/>
      <c r="K54" s="386"/>
      <c r="L54" s="387"/>
    </row>
    <row r="55" spans="1:12" ht="15">
      <c r="A55" s="393" t="s">
        <v>190</v>
      </c>
      <c r="B55" s="394" t="s">
        <v>201</v>
      </c>
      <c r="C55" s="386">
        <f>SUM(C56:C58)</f>
        <v>100000</v>
      </c>
      <c r="D55" s="386">
        <f>SUM(D56:D58)</f>
        <v>100000</v>
      </c>
      <c r="E55" s="386">
        <f>SUM(E56:E58)</f>
        <v>20050</v>
      </c>
      <c r="F55" s="387">
        <f>+E55/D55</f>
        <v>0.2005</v>
      </c>
      <c r="G55" s="410"/>
      <c r="H55" s="410"/>
      <c r="I55" s="386"/>
      <c r="J55" s="386"/>
      <c r="K55" s="386"/>
      <c r="L55" s="387"/>
    </row>
    <row r="56" spans="1:12" ht="28.5">
      <c r="A56" s="410"/>
      <c r="B56" s="389" t="s">
        <v>202</v>
      </c>
      <c r="C56" s="386">
        <f aca="true" t="shared" si="12" ref="C56:D58">+C133+C210</f>
        <v>0</v>
      </c>
      <c r="D56" s="386">
        <f t="shared" si="12"/>
        <v>0</v>
      </c>
      <c r="E56" s="386">
        <f>+E133+E210</f>
        <v>0</v>
      </c>
      <c r="F56" s="387"/>
      <c r="G56" s="410"/>
      <c r="H56" s="410"/>
      <c r="I56" s="386"/>
      <c r="J56" s="386"/>
      <c r="K56" s="386"/>
      <c r="L56" s="387"/>
    </row>
    <row r="57" spans="1:12" ht="28.5">
      <c r="A57" s="410"/>
      <c r="B57" s="389" t="s">
        <v>203</v>
      </c>
      <c r="C57" s="386">
        <f t="shared" si="12"/>
        <v>100000</v>
      </c>
      <c r="D57" s="386">
        <f t="shared" si="12"/>
        <v>100000</v>
      </c>
      <c r="E57" s="386">
        <f>+E134+E211</f>
        <v>20050</v>
      </c>
      <c r="F57" s="387">
        <f>+E57/D57</f>
        <v>0.2005</v>
      </c>
      <c r="G57" s="410"/>
      <c r="H57" s="410"/>
      <c r="I57" s="386"/>
      <c r="J57" s="386"/>
      <c r="K57" s="386"/>
      <c r="L57" s="387"/>
    </row>
    <row r="58" spans="1:12" ht="15" thickBot="1">
      <c r="A58" s="412"/>
      <c r="B58" s="399" t="s">
        <v>204</v>
      </c>
      <c r="C58" s="386">
        <f t="shared" si="12"/>
        <v>0</v>
      </c>
      <c r="D58" s="413">
        <f t="shared" si="12"/>
        <v>0</v>
      </c>
      <c r="E58" s="413">
        <f>+E135+E212</f>
        <v>0</v>
      </c>
      <c r="F58" s="414"/>
      <c r="G58" s="412"/>
      <c r="H58" s="415"/>
      <c r="I58" s="416"/>
      <c r="J58" s="416"/>
      <c r="K58" s="416"/>
      <c r="L58" s="414"/>
    </row>
    <row r="59" spans="1:12" ht="15.75" thickBot="1">
      <c r="A59" s="368"/>
      <c r="B59" s="372" t="s">
        <v>205</v>
      </c>
      <c r="C59" s="417">
        <f>SUM(C60:C66)</f>
        <v>502298148</v>
      </c>
      <c r="D59" s="417">
        <f>SUM(D60:D67)</f>
        <v>406506430</v>
      </c>
      <c r="E59" s="417">
        <f>SUM(E60:E67)</f>
        <v>406506430</v>
      </c>
      <c r="F59" s="418">
        <f>+E59/D59</f>
        <v>1</v>
      </c>
      <c r="G59" s="368"/>
      <c r="H59" s="419" t="s">
        <v>206</v>
      </c>
      <c r="I59" s="420">
        <f>SUM(I60:I67)</f>
        <v>11220000</v>
      </c>
      <c r="J59" s="420">
        <f>SUM(J60:J67)</f>
        <v>11220000</v>
      </c>
      <c r="K59" s="420">
        <f>SUM(K60:K67)</f>
        <v>11220000</v>
      </c>
      <c r="L59" s="418">
        <f>+K59/J59</f>
        <v>1</v>
      </c>
    </row>
    <row r="60" spans="1:12" ht="42.75">
      <c r="A60" s="381" t="s">
        <v>111</v>
      </c>
      <c r="B60" s="421" t="s">
        <v>128</v>
      </c>
      <c r="C60" s="386">
        <f aca="true" t="shared" si="13" ref="C60:E65">+C137+C214</f>
        <v>0</v>
      </c>
      <c r="D60" s="422">
        <f t="shared" si="13"/>
        <v>0</v>
      </c>
      <c r="E60" s="422">
        <f>+E137+E214</f>
        <v>0</v>
      </c>
      <c r="F60" s="423"/>
      <c r="G60" s="424" t="s">
        <v>111</v>
      </c>
      <c r="H60" s="421" t="s">
        <v>134</v>
      </c>
      <c r="I60" s="383">
        <f aca="true" t="shared" si="14" ref="I60:J65">+I137+I214</f>
        <v>0</v>
      </c>
      <c r="J60" s="383">
        <f t="shared" si="14"/>
        <v>0</v>
      </c>
      <c r="K60" s="383">
        <f aca="true" t="shared" si="15" ref="K60:K65">+K137+K214</f>
        <v>0</v>
      </c>
      <c r="L60" s="423"/>
    </row>
    <row r="61" spans="1:12" ht="15">
      <c r="A61" s="384" t="s">
        <v>112</v>
      </c>
      <c r="B61" s="425" t="s">
        <v>120</v>
      </c>
      <c r="C61" s="386">
        <f t="shared" si="13"/>
        <v>0</v>
      </c>
      <c r="D61" s="426">
        <f t="shared" si="13"/>
        <v>0</v>
      </c>
      <c r="E61" s="426">
        <f>+E138+E215</f>
        <v>0</v>
      </c>
      <c r="F61" s="427"/>
      <c r="G61" s="428" t="s">
        <v>112</v>
      </c>
      <c r="H61" s="425" t="s">
        <v>135</v>
      </c>
      <c r="I61" s="383">
        <f t="shared" si="14"/>
        <v>0</v>
      </c>
      <c r="J61" s="383">
        <f t="shared" si="14"/>
        <v>0</v>
      </c>
      <c r="K61" s="383">
        <f t="shared" si="15"/>
        <v>0</v>
      </c>
      <c r="L61" s="427"/>
    </row>
    <row r="62" spans="1:12" ht="15">
      <c r="A62" s="384" t="s">
        <v>113</v>
      </c>
      <c r="B62" s="425" t="s">
        <v>121</v>
      </c>
      <c r="C62" s="386">
        <f t="shared" si="13"/>
        <v>0</v>
      </c>
      <c r="D62" s="426">
        <f t="shared" si="13"/>
        <v>0</v>
      </c>
      <c r="E62" s="426">
        <f>+E139+E216</f>
        <v>0</v>
      </c>
      <c r="F62" s="427"/>
      <c r="G62" s="428" t="s">
        <v>113</v>
      </c>
      <c r="H62" s="425" t="s">
        <v>136</v>
      </c>
      <c r="I62" s="383">
        <f t="shared" si="14"/>
        <v>0</v>
      </c>
      <c r="J62" s="383">
        <f t="shared" si="14"/>
        <v>0</v>
      </c>
      <c r="K62" s="383">
        <f t="shared" si="15"/>
        <v>0</v>
      </c>
      <c r="L62" s="427"/>
    </row>
    <row r="63" spans="1:12" ht="15">
      <c r="A63" s="384" t="s">
        <v>114</v>
      </c>
      <c r="B63" s="425" t="s">
        <v>122</v>
      </c>
      <c r="C63" s="386">
        <f t="shared" si="13"/>
        <v>0</v>
      </c>
      <c r="D63" s="426">
        <f t="shared" si="13"/>
        <v>0</v>
      </c>
      <c r="E63" s="426">
        <f>+E140+E217</f>
        <v>0</v>
      </c>
      <c r="F63" s="427"/>
      <c r="G63" s="428" t="s">
        <v>114</v>
      </c>
      <c r="H63" s="425" t="s">
        <v>137</v>
      </c>
      <c r="I63" s="383">
        <f t="shared" si="14"/>
        <v>0</v>
      </c>
      <c r="J63" s="383">
        <f t="shared" si="14"/>
        <v>0</v>
      </c>
      <c r="K63" s="383">
        <f t="shared" si="15"/>
        <v>0</v>
      </c>
      <c r="L63" s="427"/>
    </row>
    <row r="64" spans="1:12" ht="15">
      <c r="A64" s="384" t="s">
        <v>115</v>
      </c>
      <c r="B64" s="425" t="s">
        <v>123</v>
      </c>
      <c r="C64" s="386">
        <f t="shared" si="13"/>
        <v>0</v>
      </c>
      <c r="D64" s="426">
        <f t="shared" si="13"/>
        <v>0</v>
      </c>
      <c r="E64" s="426">
        <f>+E141+E218</f>
        <v>0</v>
      </c>
      <c r="F64" s="427"/>
      <c r="G64" s="428" t="s">
        <v>115</v>
      </c>
      <c r="H64" s="425" t="s">
        <v>138</v>
      </c>
      <c r="I64" s="383">
        <f t="shared" si="14"/>
        <v>0</v>
      </c>
      <c r="J64" s="383">
        <f t="shared" si="14"/>
        <v>0</v>
      </c>
      <c r="K64" s="383">
        <f t="shared" si="15"/>
        <v>0</v>
      </c>
      <c r="L64" s="427"/>
    </row>
    <row r="65" spans="1:12" ht="28.5">
      <c r="A65" s="384" t="s">
        <v>116</v>
      </c>
      <c r="B65" s="425" t="s">
        <v>124</v>
      </c>
      <c r="C65" s="386">
        <f t="shared" si="13"/>
        <v>502298148</v>
      </c>
      <c r="D65" s="386">
        <f t="shared" si="13"/>
        <v>395286430</v>
      </c>
      <c r="E65" s="386">
        <f t="shared" si="13"/>
        <v>395286430</v>
      </c>
      <c r="F65" s="427">
        <f>+E65/D65</f>
        <v>1</v>
      </c>
      <c r="G65" s="428" t="s">
        <v>116</v>
      </c>
      <c r="H65" s="425" t="s">
        <v>218</v>
      </c>
      <c r="I65" s="383">
        <f t="shared" si="14"/>
        <v>0</v>
      </c>
      <c r="J65" s="383">
        <f t="shared" si="14"/>
        <v>0</v>
      </c>
      <c r="K65" s="383">
        <f t="shared" si="15"/>
        <v>0</v>
      </c>
      <c r="L65" s="427"/>
    </row>
    <row r="66" spans="1:12" ht="28.5">
      <c r="A66" s="429" t="s">
        <v>117</v>
      </c>
      <c r="B66" s="430" t="s">
        <v>125</v>
      </c>
      <c r="C66" s="386">
        <f>+C143+C220-C220</f>
        <v>0</v>
      </c>
      <c r="D66" s="426"/>
      <c r="E66" s="426"/>
      <c r="F66" s="431"/>
      <c r="G66" s="432" t="s">
        <v>117</v>
      </c>
      <c r="H66" s="430" t="s">
        <v>139</v>
      </c>
      <c r="I66" s="383">
        <f>+I143+I220-I143</f>
        <v>0</v>
      </c>
      <c r="J66" s="383">
        <f>+J143+J220-J143</f>
        <v>0</v>
      </c>
      <c r="K66" s="383">
        <f>+K143+K220-K143</f>
        <v>0</v>
      </c>
      <c r="L66" s="431"/>
    </row>
    <row r="67" spans="1:12" ht="15" thickBot="1">
      <c r="A67" s="412"/>
      <c r="B67" s="433" t="s">
        <v>214</v>
      </c>
      <c r="C67" s="386"/>
      <c r="D67" s="426">
        <f>+D144+D221</f>
        <v>11220000</v>
      </c>
      <c r="E67" s="426">
        <f>+E144+E221</f>
        <v>11220000</v>
      </c>
      <c r="F67" s="431">
        <f>+E67/D67</f>
        <v>1</v>
      </c>
      <c r="G67" s="412" t="s">
        <v>213</v>
      </c>
      <c r="H67" s="433" t="s">
        <v>214</v>
      </c>
      <c r="I67" s="383">
        <f>I144</f>
        <v>11220000</v>
      </c>
      <c r="J67" s="383">
        <f>J144</f>
        <v>11220000</v>
      </c>
      <c r="K67" s="383">
        <f>K144</f>
        <v>11220000</v>
      </c>
      <c r="L67" s="431">
        <f>+K67/J67</f>
        <v>1</v>
      </c>
    </row>
    <row r="68" spans="1:12" ht="15.75" thickBot="1">
      <c r="A68" s="368"/>
      <c r="B68" s="372" t="s">
        <v>207</v>
      </c>
      <c r="C68" s="417">
        <f>SUM(C69:C75)</f>
        <v>103432878</v>
      </c>
      <c r="D68" s="434">
        <f>SUM(D69:D75)</f>
        <v>159705102</v>
      </c>
      <c r="E68" s="434">
        <f>SUM(E69:E75)</f>
        <v>159705102</v>
      </c>
      <c r="F68" s="435">
        <f>+E68/D68</f>
        <v>1</v>
      </c>
      <c r="G68" s="436"/>
      <c r="H68" s="372" t="s">
        <v>208</v>
      </c>
      <c r="I68" s="417">
        <f>SUM(I69:I75)</f>
        <v>0</v>
      </c>
      <c r="J68" s="417">
        <f>SUM(J69:J75)</f>
        <v>0</v>
      </c>
      <c r="K68" s="417">
        <f>SUM(K69:K75)</f>
        <v>0</v>
      </c>
      <c r="L68" s="435"/>
    </row>
    <row r="69" spans="1:12" ht="42.75">
      <c r="A69" s="381" t="s">
        <v>111</v>
      </c>
      <c r="B69" s="421" t="s">
        <v>119</v>
      </c>
      <c r="C69" s="386">
        <f aca="true" t="shared" si="16" ref="C69:E74">+C146+C223</f>
        <v>0</v>
      </c>
      <c r="D69" s="422">
        <f t="shared" si="16"/>
        <v>0</v>
      </c>
      <c r="E69" s="422">
        <f>+E146+E223</f>
        <v>0</v>
      </c>
      <c r="F69" s="423"/>
      <c r="G69" s="424" t="s">
        <v>111</v>
      </c>
      <c r="H69" s="421" t="s">
        <v>134</v>
      </c>
      <c r="I69" s="383">
        <f aca="true" t="shared" si="17" ref="I69:J74">+I146+I223</f>
        <v>0</v>
      </c>
      <c r="J69" s="383">
        <f t="shared" si="17"/>
        <v>0</v>
      </c>
      <c r="K69" s="383">
        <f aca="true" t="shared" si="18" ref="K69:K74">+K146+K223</f>
        <v>0</v>
      </c>
      <c r="L69" s="423"/>
    </row>
    <row r="70" spans="1:12" ht="15">
      <c r="A70" s="384" t="s">
        <v>112</v>
      </c>
      <c r="B70" s="425" t="s">
        <v>120</v>
      </c>
      <c r="C70" s="386">
        <f t="shared" si="16"/>
        <v>0</v>
      </c>
      <c r="D70" s="426">
        <f t="shared" si="16"/>
        <v>0</v>
      </c>
      <c r="E70" s="426">
        <f>+E147+E224</f>
        <v>0</v>
      </c>
      <c r="F70" s="427"/>
      <c r="G70" s="428" t="s">
        <v>112</v>
      </c>
      <c r="H70" s="425" t="s">
        <v>135</v>
      </c>
      <c r="I70" s="383">
        <f t="shared" si="17"/>
        <v>0</v>
      </c>
      <c r="J70" s="383">
        <f t="shared" si="17"/>
        <v>0</v>
      </c>
      <c r="K70" s="383">
        <f t="shared" si="18"/>
        <v>0</v>
      </c>
      <c r="L70" s="427"/>
    </row>
    <row r="71" spans="1:12" ht="15">
      <c r="A71" s="384" t="s">
        <v>113</v>
      </c>
      <c r="B71" s="425" t="s">
        <v>121</v>
      </c>
      <c r="C71" s="386">
        <f t="shared" si="16"/>
        <v>0</v>
      </c>
      <c r="D71" s="426">
        <f t="shared" si="16"/>
        <v>0</v>
      </c>
      <c r="E71" s="426">
        <f>+E148+E225</f>
        <v>0</v>
      </c>
      <c r="F71" s="427"/>
      <c r="G71" s="428" t="s">
        <v>113</v>
      </c>
      <c r="H71" s="425" t="s">
        <v>136</v>
      </c>
      <c r="I71" s="383">
        <f t="shared" si="17"/>
        <v>0</v>
      </c>
      <c r="J71" s="383">
        <f t="shared" si="17"/>
        <v>0</v>
      </c>
      <c r="K71" s="383">
        <f t="shared" si="18"/>
        <v>0</v>
      </c>
      <c r="L71" s="427"/>
    </row>
    <row r="72" spans="1:12" ht="19.5" customHeight="1">
      <c r="A72" s="384" t="s">
        <v>114</v>
      </c>
      <c r="B72" s="425" t="s">
        <v>122</v>
      </c>
      <c r="C72" s="386">
        <f t="shared" si="16"/>
        <v>0</v>
      </c>
      <c r="D72" s="426">
        <f t="shared" si="16"/>
        <v>0</v>
      </c>
      <c r="E72" s="426">
        <f>+E149+E226</f>
        <v>0</v>
      </c>
      <c r="F72" s="427"/>
      <c r="G72" s="428" t="s">
        <v>114</v>
      </c>
      <c r="H72" s="425" t="s">
        <v>137</v>
      </c>
      <c r="I72" s="383">
        <f t="shared" si="17"/>
        <v>0</v>
      </c>
      <c r="J72" s="383">
        <f t="shared" si="17"/>
        <v>0</v>
      </c>
      <c r="K72" s="383">
        <f t="shared" si="18"/>
        <v>0</v>
      </c>
      <c r="L72" s="427"/>
    </row>
    <row r="73" spans="1:12" ht="19.5" customHeight="1">
      <c r="A73" s="384" t="s">
        <v>115</v>
      </c>
      <c r="B73" s="425" t="s">
        <v>123</v>
      </c>
      <c r="C73" s="386">
        <f t="shared" si="16"/>
        <v>0</v>
      </c>
      <c r="D73" s="426">
        <f t="shared" si="16"/>
        <v>0</v>
      </c>
      <c r="E73" s="426">
        <f>+E150+E227</f>
        <v>0</v>
      </c>
      <c r="F73" s="427"/>
      <c r="G73" s="428" t="s">
        <v>115</v>
      </c>
      <c r="H73" s="425" t="s">
        <v>138</v>
      </c>
      <c r="I73" s="383">
        <f t="shared" si="17"/>
        <v>0</v>
      </c>
      <c r="J73" s="383">
        <f t="shared" si="17"/>
        <v>0</v>
      </c>
      <c r="K73" s="383">
        <f t="shared" si="18"/>
        <v>0</v>
      </c>
      <c r="L73" s="427"/>
    </row>
    <row r="74" spans="1:12" ht="28.5">
      <c r="A74" s="384" t="s">
        <v>116</v>
      </c>
      <c r="B74" s="425" t="s">
        <v>124</v>
      </c>
      <c r="C74" s="386">
        <f t="shared" si="16"/>
        <v>103432878</v>
      </c>
      <c r="D74" s="386">
        <f t="shared" si="16"/>
        <v>159705102</v>
      </c>
      <c r="E74" s="386">
        <f t="shared" si="16"/>
        <v>159705102</v>
      </c>
      <c r="F74" s="427">
        <f>+E74/D74</f>
        <v>1</v>
      </c>
      <c r="G74" s="428" t="s">
        <v>116</v>
      </c>
      <c r="H74" s="425" t="s">
        <v>218</v>
      </c>
      <c r="I74" s="383">
        <f t="shared" si="17"/>
        <v>0</v>
      </c>
      <c r="J74" s="383">
        <f t="shared" si="17"/>
        <v>0</v>
      </c>
      <c r="K74" s="383">
        <f t="shared" si="18"/>
        <v>0</v>
      </c>
      <c r="L74" s="427"/>
    </row>
    <row r="75" spans="1:12" ht="29.25" thickBot="1">
      <c r="A75" s="429" t="s">
        <v>117</v>
      </c>
      <c r="B75" s="437" t="s">
        <v>125</v>
      </c>
      <c r="C75" s="386">
        <f>+C152+C229-C229</f>
        <v>0</v>
      </c>
      <c r="D75" s="438">
        <f>+D152+D229-D229</f>
        <v>0</v>
      </c>
      <c r="E75" s="438">
        <f>+E152+E229-E229</f>
        <v>0</v>
      </c>
      <c r="F75" s="431"/>
      <c r="G75" s="432" t="s">
        <v>117</v>
      </c>
      <c r="H75" s="439" t="s">
        <v>139</v>
      </c>
      <c r="I75" s="383">
        <f>+I152+I229-I152</f>
        <v>0</v>
      </c>
      <c r="J75" s="383">
        <f>+J152+J229-J152</f>
        <v>0</v>
      </c>
      <c r="K75" s="383">
        <f>+K152+K229-K152</f>
        <v>0</v>
      </c>
      <c r="L75" s="431"/>
    </row>
    <row r="76" spans="1:14" ht="15.75" thickBot="1">
      <c r="A76" s="440"/>
      <c r="B76" s="368" t="s">
        <v>148</v>
      </c>
      <c r="C76" s="374">
        <f>+C5+C42+C59+C68</f>
        <v>1164092875</v>
      </c>
      <c r="D76" s="374">
        <f>+D5+D42+D59+D68</f>
        <v>1332484441</v>
      </c>
      <c r="E76" s="374">
        <f>+E5+E42+E59+E68</f>
        <v>1209518770</v>
      </c>
      <c r="F76" s="375">
        <f>+E76/D76</f>
        <v>0.9077169929971437</v>
      </c>
      <c r="G76" s="440"/>
      <c r="H76" s="368" t="s">
        <v>149</v>
      </c>
      <c r="I76" s="374">
        <f>+I5+I42+I59+I68</f>
        <v>1164092875</v>
      </c>
      <c r="J76" s="374">
        <f>+J5+J42+J59+J68</f>
        <v>1332484441</v>
      </c>
      <c r="K76" s="374">
        <f>+K5+K42+K59+K68</f>
        <v>703304312</v>
      </c>
      <c r="L76" s="375">
        <f>+K76/J76</f>
        <v>0.5278142771199532</v>
      </c>
      <c r="N76" s="441">
        <f>D76-J76</f>
        <v>0</v>
      </c>
    </row>
    <row r="77" spans="1:12" ht="15">
      <c r="A77" s="442"/>
      <c r="B77" s="365"/>
      <c r="C77" s="443"/>
      <c r="D77" s="443"/>
      <c r="E77" s="443"/>
      <c r="F77" s="444"/>
      <c r="G77" s="442"/>
      <c r="H77" s="365"/>
      <c r="I77" s="443"/>
      <c r="J77" s="443"/>
      <c r="L77" s="444"/>
    </row>
    <row r="78" spans="9:13" ht="15">
      <c r="I78" s="363"/>
      <c r="L78" s="364" t="s">
        <v>907</v>
      </c>
      <c r="M78" s="441"/>
    </row>
    <row r="79" spans="1:10" ht="15">
      <c r="A79" s="711" t="s">
        <v>872</v>
      </c>
      <c r="B79" s="711"/>
      <c r="C79" s="711"/>
      <c r="D79" s="711"/>
      <c r="E79" s="711"/>
      <c r="F79" s="711"/>
      <c r="G79" s="711"/>
      <c r="H79" s="711"/>
      <c r="I79" s="711"/>
      <c r="J79" s="711"/>
    </row>
    <row r="80" spans="9:12" ht="15" thickBot="1">
      <c r="I80" s="366"/>
      <c r="L80" s="366" t="s">
        <v>215</v>
      </c>
    </row>
    <row r="81" spans="1:12" ht="30.75" thickBot="1">
      <c r="A81" s="367"/>
      <c r="B81" s="368" t="s">
        <v>104</v>
      </c>
      <c r="C81" s="369" t="s">
        <v>305</v>
      </c>
      <c r="D81" s="369" t="s">
        <v>843</v>
      </c>
      <c r="E81" s="369" t="s">
        <v>303</v>
      </c>
      <c r="F81" s="370" t="s">
        <v>304</v>
      </c>
      <c r="G81" s="371"/>
      <c r="H81" s="368" t="s">
        <v>105</v>
      </c>
      <c r="I81" s="369" t="str">
        <f>C81</f>
        <v>Eredeti előirányzat </v>
      </c>
      <c r="J81" s="369" t="str">
        <f>D81</f>
        <v>Módosított előirányzta V.</v>
      </c>
      <c r="K81" s="369" t="s">
        <v>303</v>
      </c>
      <c r="L81" s="370" t="s">
        <v>304</v>
      </c>
    </row>
    <row r="82" spans="1:16" ht="15.75" thickBot="1">
      <c r="A82" s="367"/>
      <c r="B82" s="372" t="s">
        <v>155</v>
      </c>
      <c r="C82" s="374">
        <f>+C83+C96+C104+C115</f>
        <v>458915095</v>
      </c>
      <c r="D82" s="374">
        <f>+D83+D96+D104+D115</f>
        <v>564033291</v>
      </c>
      <c r="E82" s="374">
        <f>+E83+E96+E104+E115</f>
        <v>488744857</v>
      </c>
      <c r="F82" s="375">
        <f>+E82/D82</f>
        <v>0.8665177477972661</v>
      </c>
      <c r="G82" s="371"/>
      <c r="H82" s="372" t="s">
        <v>156</v>
      </c>
      <c r="I82" s="376">
        <f>SUM(I83:I87)</f>
        <v>432013508</v>
      </c>
      <c r="J82" s="376">
        <f>SUM(J83:J87)</f>
        <v>474452733</v>
      </c>
      <c r="K82" s="376">
        <f>SUM(K83:K87)</f>
        <v>264944704</v>
      </c>
      <c r="L82" s="375">
        <f>+K82/J82</f>
        <v>0.5584217047812854</v>
      </c>
      <c r="P82" s="441"/>
    </row>
    <row r="83" spans="1:16" ht="15">
      <c r="A83" s="377" t="s">
        <v>23</v>
      </c>
      <c r="B83" s="378" t="s">
        <v>157</v>
      </c>
      <c r="C83" s="445">
        <f>+C84+C91+C92+C93+C94+C95</f>
        <v>349060185</v>
      </c>
      <c r="D83" s="445">
        <f>+D84+D91+D92+D93+D94+D95</f>
        <v>363399871</v>
      </c>
      <c r="E83" s="445">
        <f>+E84+E91+E92+E93+E94+E95</f>
        <v>333198701</v>
      </c>
      <c r="F83" s="446">
        <f>+E83/D83</f>
        <v>0.9168927332943384</v>
      </c>
      <c r="G83" s="381" t="s">
        <v>23</v>
      </c>
      <c r="H83" s="382" t="s">
        <v>80</v>
      </c>
      <c r="I83" s="447">
        <v>138004508</v>
      </c>
      <c r="J83" s="383">
        <v>142247703</v>
      </c>
      <c r="K83" s="383">
        <v>94373686</v>
      </c>
      <c r="L83" s="446">
        <f>+K83/J83</f>
        <v>0.6634461155411416</v>
      </c>
      <c r="M83" s="441"/>
      <c r="P83" s="441"/>
    </row>
    <row r="84" spans="1:16" ht="30">
      <c r="A84" s="384" t="s">
        <v>111</v>
      </c>
      <c r="B84" s="385" t="s">
        <v>158</v>
      </c>
      <c r="C84" s="448">
        <f>SUM(C85:C90)</f>
        <v>295492000</v>
      </c>
      <c r="D84" s="448">
        <f>SUM(D85:D90)</f>
        <v>295455928</v>
      </c>
      <c r="E84" s="448">
        <f>SUM(E85:E90)</f>
        <v>295455928</v>
      </c>
      <c r="F84" s="449">
        <f>+E84/D84</f>
        <v>1</v>
      </c>
      <c r="G84" s="384" t="s">
        <v>45</v>
      </c>
      <c r="H84" s="388" t="s">
        <v>147</v>
      </c>
      <c r="I84" s="447">
        <v>28049738</v>
      </c>
      <c r="J84" s="383">
        <v>26446374</v>
      </c>
      <c r="K84" s="383">
        <v>14857187</v>
      </c>
      <c r="L84" s="449">
        <f>+K84/J84</f>
        <v>0.5617854077084443</v>
      </c>
      <c r="M84" s="441"/>
      <c r="P84" s="441"/>
    </row>
    <row r="85" spans="1:16" ht="15">
      <c r="A85" s="384"/>
      <c r="B85" s="389" t="s">
        <v>159</v>
      </c>
      <c r="C85" s="450">
        <v>280500000</v>
      </c>
      <c r="D85" s="386">
        <v>280635928</v>
      </c>
      <c r="E85" s="386">
        <v>280635928</v>
      </c>
      <c r="F85" s="387">
        <f>+E85/D85</f>
        <v>1</v>
      </c>
      <c r="G85" s="384" t="s">
        <v>56</v>
      </c>
      <c r="H85" s="388" t="s">
        <v>83</v>
      </c>
      <c r="I85" s="447">
        <v>228159262</v>
      </c>
      <c r="J85" s="383">
        <v>256582433</v>
      </c>
      <c r="K85" s="383">
        <v>114766421</v>
      </c>
      <c r="L85" s="387">
        <f>+K85/J85</f>
        <v>0.44728869259728316</v>
      </c>
      <c r="M85" s="441"/>
      <c r="P85" s="441"/>
    </row>
    <row r="86" spans="1:16" ht="28.5">
      <c r="A86" s="384"/>
      <c r="B86" s="389" t="s">
        <v>160</v>
      </c>
      <c r="C86" s="450"/>
      <c r="D86" s="386"/>
      <c r="E86" s="386"/>
      <c r="F86" s="387"/>
      <c r="G86" s="384" t="s">
        <v>64</v>
      </c>
      <c r="H86" s="388" t="s">
        <v>84</v>
      </c>
      <c r="I86" s="447">
        <v>0</v>
      </c>
      <c r="J86" s="383"/>
      <c r="K86" s="383"/>
      <c r="L86" s="387"/>
      <c r="M86" s="441"/>
      <c r="P86" s="441"/>
    </row>
    <row r="87" spans="1:16" ht="29.25">
      <c r="A87" s="384"/>
      <c r="B87" s="389" t="s">
        <v>161</v>
      </c>
      <c r="C87" s="450"/>
      <c r="D87" s="386"/>
      <c r="E87" s="386"/>
      <c r="F87" s="387"/>
      <c r="G87" s="384" t="s">
        <v>100</v>
      </c>
      <c r="H87" s="388" t="s">
        <v>217</v>
      </c>
      <c r="I87" s="447">
        <v>37800000</v>
      </c>
      <c r="J87" s="383">
        <v>49176223</v>
      </c>
      <c r="K87" s="383">
        <v>40947410</v>
      </c>
      <c r="L87" s="387">
        <f>+K87/J87</f>
        <v>0.8326668357592245</v>
      </c>
      <c r="M87" s="441"/>
      <c r="P87" s="441"/>
    </row>
    <row r="88" spans="1:16" ht="15">
      <c r="A88" s="384"/>
      <c r="B88" s="389" t="s">
        <v>162</v>
      </c>
      <c r="C88" s="450"/>
      <c r="D88" s="386"/>
      <c r="E88" s="386"/>
      <c r="F88" s="387"/>
      <c r="G88" s="384"/>
      <c r="H88" s="390" t="s">
        <v>212</v>
      </c>
      <c r="I88" s="447"/>
      <c r="J88" s="383">
        <v>0</v>
      </c>
      <c r="K88" s="383"/>
      <c r="L88" s="387"/>
      <c r="M88" s="441"/>
      <c r="P88" s="441"/>
    </row>
    <row r="89" spans="1:16" ht="15">
      <c r="A89" s="384"/>
      <c r="B89" s="389" t="s">
        <v>163</v>
      </c>
      <c r="C89" s="450"/>
      <c r="D89" s="386"/>
      <c r="E89" s="386"/>
      <c r="F89" s="387"/>
      <c r="G89" s="384"/>
      <c r="H89" s="384"/>
      <c r="I89" s="451"/>
      <c r="J89" s="391"/>
      <c r="K89" s="391"/>
      <c r="L89" s="387"/>
      <c r="M89" s="441"/>
      <c r="P89" s="441"/>
    </row>
    <row r="90" spans="1:16" ht="15">
      <c r="A90" s="384"/>
      <c r="B90" s="389" t="s">
        <v>164</v>
      </c>
      <c r="C90" s="450">
        <v>14992000</v>
      </c>
      <c r="D90" s="386">
        <v>14820000</v>
      </c>
      <c r="E90" s="386">
        <v>14820000</v>
      </c>
      <c r="F90" s="387">
        <f>+E90/D90</f>
        <v>1</v>
      </c>
      <c r="G90" s="384"/>
      <c r="H90" s="384"/>
      <c r="I90" s="451"/>
      <c r="J90" s="391"/>
      <c r="K90" s="391"/>
      <c r="L90" s="387"/>
      <c r="M90" s="441"/>
      <c r="P90" s="441"/>
    </row>
    <row r="91" spans="1:16" ht="15">
      <c r="A91" s="384" t="s">
        <v>112</v>
      </c>
      <c r="B91" s="392" t="s">
        <v>165</v>
      </c>
      <c r="C91" s="450"/>
      <c r="D91" s="386"/>
      <c r="E91" s="386"/>
      <c r="F91" s="387"/>
      <c r="G91" s="384"/>
      <c r="H91" s="384"/>
      <c r="I91" s="451"/>
      <c r="J91" s="391"/>
      <c r="K91" s="391"/>
      <c r="L91" s="387"/>
      <c r="M91" s="441"/>
      <c r="P91" s="441"/>
    </row>
    <row r="92" spans="1:18" ht="30">
      <c r="A92" s="384" t="s">
        <v>113</v>
      </c>
      <c r="B92" s="392" t="s">
        <v>166</v>
      </c>
      <c r="C92" s="450"/>
      <c r="D92" s="386"/>
      <c r="E92" s="386"/>
      <c r="F92" s="387"/>
      <c r="G92" s="384"/>
      <c r="H92" s="384"/>
      <c r="I92" s="451"/>
      <c r="J92" s="391"/>
      <c r="K92" s="391"/>
      <c r="L92" s="387"/>
      <c r="M92" s="441"/>
      <c r="P92" s="441"/>
      <c r="R92" s="441"/>
    </row>
    <row r="93" spans="1:12" ht="30">
      <c r="A93" s="384" t="s">
        <v>114</v>
      </c>
      <c r="B93" s="392" t="s">
        <v>167</v>
      </c>
      <c r="C93" s="450"/>
      <c r="D93" s="386"/>
      <c r="E93" s="386"/>
      <c r="F93" s="387"/>
      <c r="G93" s="384"/>
      <c r="H93" s="384"/>
      <c r="I93" s="451"/>
      <c r="J93" s="391"/>
      <c r="K93" s="391"/>
      <c r="L93" s="387"/>
    </row>
    <row r="94" spans="1:12" ht="30">
      <c r="A94" s="384" t="s">
        <v>115</v>
      </c>
      <c r="B94" s="392" t="s">
        <v>168</v>
      </c>
      <c r="C94" s="450"/>
      <c r="D94" s="386"/>
      <c r="E94" s="386"/>
      <c r="F94" s="387"/>
      <c r="G94" s="384"/>
      <c r="H94" s="384"/>
      <c r="I94" s="451"/>
      <c r="J94" s="391"/>
      <c r="K94" s="391"/>
      <c r="L94" s="387"/>
    </row>
    <row r="95" spans="1:12" ht="30">
      <c r="A95" s="384" t="s">
        <v>116</v>
      </c>
      <c r="B95" s="392" t="s">
        <v>169</v>
      </c>
      <c r="C95" s="450">
        <v>53568185</v>
      </c>
      <c r="D95" s="452">
        <v>67943943</v>
      </c>
      <c r="E95" s="452">
        <v>37742773</v>
      </c>
      <c r="F95" s="453">
        <f>+E95/D95</f>
        <v>0.5554987145800473</v>
      </c>
      <c r="G95" s="384"/>
      <c r="H95" s="384"/>
      <c r="I95" s="451"/>
      <c r="J95" s="391"/>
      <c r="K95" s="391"/>
      <c r="L95" s="453"/>
    </row>
    <row r="96" spans="1:12" ht="15">
      <c r="A96" s="393" t="s">
        <v>45</v>
      </c>
      <c r="B96" s="394" t="s">
        <v>9</v>
      </c>
      <c r="C96" s="454">
        <v>0</v>
      </c>
      <c r="D96" s="395">
        <f>SUM(D97:D103)</f>
        <v>0</v>
      </c>
      <c r="E96" s="395"/>
      <c r="F96" s="396"/>
      <c r="G96" s="397"/>
      <c r="H96" s="384"/>
      <c r="I96" s="451"/>
      <c r="J96" s="391"/>
      <c r="K96" s="391"/>
      <c r="L96" s="396"/>
    </row>
    <row r="97" spans="1:12" ht="15">
      <c r="A97" s="393"/>
      <c r="B97" s="397" t="s">
        <v>140</v>
      </c>
      <c r="C97" s="450"/>
      <c r="D97" s="386"/>
      <c r="E97" s="386"/>
      <c r="F97" s="387"/>
      <c r="G97" s="397"/>
      <c r="H97" s="384"/>
      <c r="I97" s="451"/>
      <c r="J97" s="391"/>
      <c r="K97" s="391"/>
      <c r="L97" s="387"/>
    </row>
    <row r="98" spans="1:12" ht="15">
      <c r="A98" s="393"/>
      <c r="B98" s="397" t="s">
        <v>141</v>
      </c>
      <c r="C98" s="450"/>
      <c r="D98" s="386"/>
      <c r="E98" s="386"/>
      <c r="F98" s="387"/>
      <c r="G98" s="397"/>
      <c r="H98" s="384"/>
      <c r="I98" s="451"/>
      <c r="J98" s="391"/>
      <c r="K98" s="391"/>
      <c r="L98" s="387"/>
    </row>
    <row r="99" spans="1:12" ht="15">
      <c r="A99" s="393"/>
      <c r="B99" s="397" t="s">
        <v>142</v>
      </c>
      <c r="C99" s="450"/>
      <c r="D99" s="386"/>
      <c r="E99" s="386"/>
      <c r="F99" s="387"/>
      <c r="G99" s="397"/>
      <c r="H99" s="384"/>
      <c r="I99" s="451"/>
      <c r="J99" s="391"/>
      <c r="K99" s="391"/>
      <c r="L99" s="387"/>
    </row>
    <row r="100" spans="1:12" ht="15">
      <c r="A100" s="393"/>
      <c r="B100" s="397" t="s">
        <v>143</v>
      </c>
      <c r="C100" s="450"/>
      <c r="D100" s="386"/>
      <c r="E100" s="386"/>
      <c r="F100" s="387"/>
      <c r="G100" s="397"/>
      <c r="H100" s="384"/>
      <c r="I100" s="451"/>
      <c r="J100" s="391"/>
      <c r="K100" s="391"/>
      <c r="L100" s="387"/>
    </row>
    <row r="101" spans="1:12" ht="15">
      <c r="A101" s="393"/>
      <c r="B101" s="397" t="s">
        <v>144</v>
      </c>
      <c r="C101" s="450"/>
      <c r="D101" s="386"/>
      <c r="E101" s="386"/>
      <c r="F101" s="387"/>
      <c r="G101" s="397"/>
      <c r="H101" s="384"/>
      <c r="I101" s="451"/>
      <c r="J101" s="391"/>
      <c r="K101" s="391"/>
      <c r="L101" s="387"/>
    </row>
    <row r="102" spans="1:12" ht="15">
      <c r="A102" s="393"/>
      <c r="B102" s="397" t="s">
        <v>145</v>
      </c>
      <c r="C102" s="450"/>
      <c r="D102" s="386"/>
      <c r="E102" s="386"/>
      <c r="F102" s="387"/>
      <c r="G102" s="397"/>
      <c r="H102" s="384"/>
      <c r="I102" s="451"/>
      <c r="J102" s="391"/>
      <c r="K102" s="391"/>
      <c r="L102" s="387"/>
    </row>
    <row r="103" spans="1:12" ht="15">
      <c r="A103" s="393"/>
      <c r="B103" s="397" t="s">
        <v>146</v>
      </c>
      <c r="C103" s="450"/>
      <c r="D103" s="386"/>
      <c r="E103" s="386"/>
      <c r="F103" s="387"/>
      <c r="G103" s="397"/>
      <c r="H103" s="384"/>
      <c r="I103" s="451"/>
      <c r="J103" s="391"/>
      <c r="K103" s="391"/>
      <c r="L103" s="387"/>
    </row>
    <row r="104" spans="1:12" ht="15">
      <c r="A104" s="393" t="s">
        <v>56</v>
      </c>
      <c r="B104" s="394" t="s">
        <v>170</v>
      </c>
      <c r="C104" s="448">
        <f>SUM(C105:C114)</f>
        <v>4232860</v>
      </c>
      <c r="D104" s="448">
        <f>SUM(D105:D114)</f>
        <v>5687421</v>
      </c>
      <c r="E104" s="448">
        <f>SUM(E105:E114)</f>
        <v>2109789</v>
      </c>
      <c r="F104" s="449">
        <f>+E104/D104</f>
        <v>0.3709570647223056</v>
      </c>
      <c r="G104" s="397"/>
      <c r="H104" s="384"/>
      <c r="I104" s="451"/>
      <c r="J104" s="391"/>
      <c r="K104" s="391"/>
      <c r="L104" s="449"/>
    </row>
    <row r="105" spans="1:12" ht="15">
      <c r="A105" s="393"/>
      <c r="B105" s="389" t="s">
        <v>171</v>
      </c>
      <c r="C105" s="450">
        <v>100000</v>
      </c>
      <c r="D105" s="386">
        <v>100000</v>
      </c>
      <c r="E105" s="386">
        <v>0</v>
      </c>
      <c r="F105" s="387">
        <f>+E105/D105</f>
        <v>0</v>
      </c>
      <c r="G105" s="397"/>
      <c r="H105" s="384"/>
      <c r="I105" s="451"/>
      <c r="J105" s="391"/>
      <c r="K105" s="391"/>
      <c r="L105" s="387"/>
    </row>
    <row r="106" spans="1:12" ht="15">
      <c r="A106" s="393"/>
      <c r="B106" s="389" t="s">
        <v>172</v>
      </c>
      <c r="C106" s="455">
        <v>4000000</v>
      </c>
      <c r="D106" s="386">
        <v>4000000</v>
      </c>
      <c r="E106" s="386">
        <v>530000</v>
      </c>
      <c r="F106" s="387">
        <f>+E106/D106</f>
        <v>0.1325</v>
      </c>
      <c r="G106" s="397"/>
      <c r="H106" s="384"/>
      <c r="I106" s="451"/>
      <c r="J106" s="391"/>
      <c r="K106" s="391"/>
      <c r="L106" s="387"/>
    </row>
    <row r="107" spans="1:12" ht="15">
      <c r="A107" s="393"/>
      <c r="B107" s="389" t="s">
        <v>173</v>
      </c>
      <c r="C107" s="450">
        <v>132860</v>
      </c>
      <c r="D107" s="386">
        <v>387211</v>
      </c>
      <c r="E107" s="386">
        <v>379579</v>
      </c>
      <c r="F107" s="387">
        <f>+E107/D107</f>
        <v>0.980289816146752</v>
      </c>
      <c r="G107" s="397"/>
      <c r="H107" s="384"/>
      <c r="I107" s="451"/>
      <c r="J107" s="391"/>
      <c r="K107" s="391"/>
      <c r="L107" s="387"/>
    </row>
    <row r="108" spans="1:12" ht="15">
      <c r="A108" s="393"/>
      <c r="B108" s="389" t="s">
        <v>174</v>
      </c>
      <c r="C108" s="450"/>
      <c r="D108" s="386"/>
      <c r="E108" s="386"/>
      <c r="F108" s="387"/>
      <c r="G108" s="397"/>
      <c r="H108" s="384"/>
      <c r="I108" s="451"/>
      <c r="J108" s="391"/>
      <c r="K108" s="391"/>
      <c r="L108" s="387"/>
    </row>
    <row r="109" spans="1:12" ht="15">
      <c r="A109" s="393"/>
      <c r="B109" s="389" t="s">
        <v>175</v>
      </c>
      <c r="C109" s="450"/>
      <c r="D109" s="386"/>
      <c r="E109" s="386"/>
      <c r="F109" s="387"/>
      <c r="G109" s="397"/>
      <c r="H109" s="384"/>
      <c r="I109" s="451"/>
      <c r="J109" s="391"/>
      <c r="K109" s="391"/>
      <c r="L109" s="387"/>
    </row>
    <row r="110" spans="1:12" ht="15">
      <c r="A110" s="393"/>
      <c r="B110" s="389" t="s">
        <v>176</v>
      </c>
      <c r="C110" s="450"/>
      <c r="D110" s="386"/>
      <c r="E110" s="386"/>
      <c r="F110" s="387"/>
      <c r="G110" s="397"/>
      <c r="H110" s="384"/>
      <c r="I110" s="451"/>
      <c r="J110" s="391"/>
      <c r="K110" s="391"/>
      <c r="L110" s="387"/>
    </row>
    <row r="111" spans="1:12" ht="15">
      <c r="A111" s="393"/>
      <c r="B111" s="389" t="s">
        <v>177</v>
      </c>
      <c r="C111" s="450"/>
      <c r="D111" s="386"/>
      <c r="E111" s="386"/>
      <c r="F111" s="387"/>
      <c r="G111" s="397"/>
      <c r="H111" s="384"/>
      <c r="I111" s="451"/>
      <c r="J111" s="391"/>
      <c r="K111" s="391"/>
      <c r="L111" s="387"/>
    </row>
    <row r="112" spans="1:12" ht="15">
      <c r="A112" s="393"/>
      <c r="B112" s="389" t="s">
        <v>178</v>
      </c>
      <c r="C112" s="450"/>
      <c r="D112" s="386"/>
      <c r="E112" s="386"/>
      <c r="F112" s="387"/>
      <c r="G112" s="397"/>
      <c r="H112" s="384"/>
      <c r="I112" s="451"/>
      <c r="J112" s="391"/>
      <c r="K112" s="391"/>
      <c r="L112" s="387"/>
    </row>
    <row r="113" spans="1:12" ht="15">
      <c r="A113" s="393"/>
      <c r="B113" s="389" t="s">
        <v>179</v>
      </c>
      <c r="C113" s="450"/>
      <c r="D113" s="386">
        <v>1000061</v>
      </c>
      <c r="E113" s="386">
        <v>1000061</v>
      </c>
      <c r="F113" s="387">
        <f>+E113/D113</f>
        <v>1</v>
      </c>
      <c r="G113" s="397"/>
      <c r="H113" s="384"/>
      <c r="I113" s="451"/>
      <c r="J113" s="391"/>
      <c r="K113" s="391"/>
      <c r="L113" s="387"/>
    </row>
    <row r="114" spans="1:12" ht="15">
      <c r="A114" s="393"/>
      <c r="B114" s="389" t="s">
        <v>180</v>
      </c>
      <c r="C114" s="450"/>
      <c r="D114" s="386">
        <v>200149</v>
      </c>
      <c r="E114" s="386">
        <v>200149</v>
      </c>
      <c r="F114" s="387">
        <f>+E114/D114</f>
        <v>1</v>
      </c>
      <c r="G114" s="397"/>
      <c r="H114" s="384"/>
      <c r="I114" s="451"/>
      <c r="J114" s="391"/>
      <c r="K114" s="391"/>
      <c r="L114" s="387"/>
    </row>
    <row r="115" spans="1:12" ht="15">
      <c r="A115" s="393" t="s">
        <v>64</v>
      </c>
      <c r="B115" s="394" t="s">
        <v>181</v>
      </c>
      <c r="C115" s="448">
        <f>SUM(C116:C118)</f>
        <v>105622050</v>
      </c>
      <c r="D115" s="448">
        <f>SUM(D116:D118)</f>
        <v>194945999</v>
      </c>
      <c r="E115" s="448">
        <f>SUM(E116:E118)</f>
        <v>153436367</v>
      </c>
      <c r="F115" s="449">
        <f>+E115/D115</f>
        <v>0.7870711262968777</v>
      </c>
      <c r="G115" s="397"/>
      <c r="H115" s="384"/>
      <c r="I115" s="451"/>
      <c r="J115" s="391"/>
      <c r="K115" s="391"/>
      <c r="L115" s="449"/>
    </row>
    <row r="116" spans="1:12" ht="28.5">
      <c r="A116" s="397"/>
      <c r="B116" s="389" t="s">
        <v>182</v>
      </c>
      <c r="C116" s="450"/>
      <c r="D116" s="386"/>
      <c r="E116" s="386"/>
      <c r="F116" s="387"/>
      <c r="G116" s="397"/>
      <c r="H116" s="384"/>
      <c r="I116" s="451"/>
      <c r="J116" s="391"/>
      <c r="K116" s="391"/>
      <c r="L116" s="387"/>
    </row>
    <row r="117" spans="1:12" ht="28.5">
      <c r="A117" s="397"/>
      <c r="B117" s="389" t="s">
        <v>183</v>
      </c>
      <c r="C117" s="450"/>
      <c r="D117" s="386"/>
      <c r="E117" s="386"/>
      <c r="F117" s="387"/>
      <c r="G117" s="397"/>
      <c r="H117" s="384"/>
      <c r="I117" s="451"/>
      <c r="J117" s="391"/>
      <c r="K117" s="391"/>
      <c r="L117" s="387"/>
    </row>
    <row r="118" spans="1:12" ht="15.75" thickBot="1">
      <c r="A118" s="398"/>
      <c r="B118" s="399" t="s">
        <v>184</v>
      </c>
      <c r="C118" s="450">
        <v>105622050</v>
      </c>
      <c r="D118" s="400">
        <v>194945999</v>
      </c>
      <c r="E118" s="400">
        <v>153436367</v>
      </c>
      <c r="F118" s="401">
        <f>+E118/D118</f>
        <v>0.7870711262968777</v>
      </c>
      <c r="G118" s="398"/>
      <c r="H118" s="402"/>
      <c r="I118" s="456"/>
      <c r="J118" s="403"/>
      <c r="K118" s="403"/>
      <c r="L118" s="401"/>
    </row>
    <row r="119" spans="1:13" ht="15.75" thickBot="1">
      <c r="A119" s="368"/>
      <c r="B119" s="372" t="s">
        <v>185</v>
      </c>
      <c r="C119" s="373">
        <f>+C120+C126+C132</f>
        <v>80952989</v>
      </c>
      <c r="D119" s="373">
        <f>+D120+D126+D132</f>
        <v>89418702</v>
      </c>
      <c r="E119" s="373">
        <f>+E120+E126+E132</f>
        <v>88279601</v>
      </c>
      <c r="F119" s="404">
        <f>+E119/D119</f>
        <v>0.9872610429974705</v>
      </c>
      <c r="G119" s="368"/>
      <c r="H119" s="372" t="s">
        <v>186</v>
      </c>
      <c r="I119" s="373">
        <f>SUM(I120:I122)</f>
        <v>180932867</v>
      </c>
      <c r="J119" s="373">
        <f>SUM(J120:J122)</f>
        <v>209750697</v>
      </c>
      <c r="K119" s="373">
        <f>SUM(K120:K122)</f>
        <v>126731307</v>
      </c>
      <c r="L119" s="404">
        <f>+K119/J119</f>
        <v>0.6041996942684772</v>
      </c>
      <c r="M119" s="441"/>
    </row>
    <row r="120" spans="1:13" ht="15">
      <c r="A120" s="405" t="s">
        <v>100</v>
      </c>
      <c r="B120" s="406" t="s">
        <v>187</v>
      </c>
      <c r="C120" s="445">
        <f>SUM(C121:C125)</f>
        <v>80952989</v>
      </c>
      <c r="D120" s="445">
        <f>SUM(D121:D125)</f>
        <v>89418702</v>
      </c>
      <c r="E120" s="445">
        <f>SUM(E121:E125)</f>
        <v>88279601</v>
      </c>
      <c r="F120" s="446">
        <f>+E120/D120</f>
        <v>0.9872610429974705</v>
      </c>
      <c r="G120" s="405" t="s">
        <v>188</v>
      </c>
      <c r="H120" s="408" t="s">
        <v>131</v>
      </c>
      <c r="I120" s="447">
        <v>180297867</v>
      </c>
      <c r="J120" s="383">
        <v>209750697</v>
      </c>
      <c r="K120" s="383">
        <v>126731307</v>
      </c>
      <c r="L120" s="446">
        <f>+K120/J120</f>
        <v>0.6041996942684772</v>
      </c>
      <c r="M120" s="441"/>
    </row>
    <row r="121" spans="1:13" ht="15">
      <c r="A121" s="393"/>
      <c r="B121" s="389" t="s">
        <v>189</v>
      </c>
      <c r="C121" s="450"/>
      <c r="D121" s="379"/>
      <c r="E121" s="379"/>
      <c r="F121" s="380"/>
      <c r="G121" s="405" t="s">
        <v>190</v>
      </c>
      <c r="H121" s="409" t="s">
        <v>87</v>
      </c>
      <c r="I121" s="447">
        <v>635000</v>
      </c>
      <c r="J121" s="383">
        <v>0</v>
      </c>
      <c r="K121" s="383">
        <v>0</v>
      </c>
      <c r="L121" s="380"/>
      <c r="M121" s="441"/>
    </row>
    <row r="122" spans="1:13" ht="28.5">
      <c r="A122" s="393"/>
      <c r="B122" s="389" t="s">
        <v>191</v>
      </c>
      <c r="C122" s="450"/>
      <c r="D122" s="379"/>
      <c r="E122" s="379"/>
      <c r="F122" s="380"/>
      <c r="G122" s="405" t="s">
        <v>192</v>
      </c>
      <c r="H122" s="409" t="s">
        <v>90</v>
      </c>
      <c r="I122" s="447">
        <v>0</v>
      </c>
      <c r="J122" s="383"/>
      <c r="K122" s="383"/>
      <c r="L122" s="380"/>
      <c r="M122" s="441"/>
    </row>
    <row r="123" spans="1:13" ht="28.5">
      <c r="A123" s="393"/>
      <c r="B123" s="389" t="s">
        <v>193</v>
      </c>
      <c r="C123" s="450"/>
      <c r="D123" s="386"/>
      <c r="E123" s="386"/>
      <c r="F123" s="387"/>
      <c r="G123" s="410"/>
      <c r="H123" s="411"/>
      <c r="I123" s="450"/>
      <c r="J123" s="386"/>
      <c r="K123" s="386"/>
      <c r="L123" s="387"/>
      <c r="M123" s="441"/>
    </row>
    <row r="124" spans="1:13" ht="28.5">
      <c r="A124" s="393"/>
      <c r="B124" s="389" t="s">
        <v>194</v>
      </c>
      <c r="C124" s="450"/>
      <c r="D124" s="386"/>
      <c r="E124" s="386"/>
      <c r="F124" s="387"/>
      <c r="G124" s="410"/>
      <c r="H124" s="411"/>
      <c r="I124" s="450"/>
      <c r="J124" s="386"/>
      <c r="K124" s="386"/>
      <c r="L124" s="387"/>
      <c r="M124" s="441"/>
    </row>
    <row r="125" spans="1:13" ht="30" customHeight="1">
      <c r="A125" s="393"/>
      <c r="B125" s="389" t="s">
        <v>195</v>
      </c>
      <c r="C125" s="450">
        <v>80952989</v>
      </c>
      <c r="D125" s="386">
        <v>89418702</v>
      </c>
      <c r="E125" s="386">
        <v>88279601</v>
      </c>
      <c r="F125" s="387">
        <f>+E125/D125</f>
        <v>0.9872610429974705</v>
      </c>
      <c r="G125" s="410"/>
      <c r="H125" s="411"/>
      <c r="I125" s="450"/>
      <c r="J125" s="386"/>
      <c r="K125" s="386"/>
      <c r="L125" s="387"/>
      <c r="M125" s="441"/>
    </row>
    <row r="126" spans="1:15" ht="15">
      <c r="A126" s="393" t="s">
        <v>188</v>
      </c>
      <c r="B126" s="388" t="s">
        <v>39</v>
      </c>
      <c r="C126" s="450">
        <v>0</v>
      </c>
      <c r="D126" s="448">
        <f>SUM(D127:D131)</f>
        <v>0</v>
      </c>
      <c r="E126" s="448">
        <f>SUM(E127:E131)</f>
        <v>0</v>
      </c>
      <c r="F126" s="449"/>
      <c r="G126" s="410"/>
      <c r="H126" s="411"/>
      <c r="I126" s="450"/>
      <c r="J126" s="386"/>
      <c r="K126" s="386"/>
      <c r="L126" s="449"/>
      <c r="M126" s="441"/>
      <c r="O126" s="441"/>
    </row>
    <row r="127" spans="1:15" ht="15">
      <c r="A127" s="393"/>
      <c r="B127" s="389" t="s">
        <v>196</v>
      </c>
      <c r="C127" s="450"/>
      <c r="D127" s="386"/>
      <c r="E127" s="386"/>
      <c r="F127" s="387"/>
      <c r="G127" s="410"/>
      <c r="H127" s="411"/>
      <c r="I127" s="450"/>
      <c r="J127" s="386"/>
      <c r="K127" s="386"/>
      <c r="L127" s="387"/>
      <c r="O127" s="441"/>
    </row>
    <row r="128" spans="1:12" ht="15">
      <c r="A128" s="393"/>
      <c r="B128" s="389" t="s">
        <v>197</v>
      </c>
      <c r="C128" s="450"/>
      <c r="D128" s="386"/>
      <c r="E128" s="386"/>
      <c r="F128" s="387"/>
      <c r="G128" s="410"/>
      <c r="H128" s="411"/>
      <c r="I128" s="450"/>
      <c r="J128" s="386"/>
      <c r="K128" s="386"/>
      <c r="L128" s="387"/>
    </row>
    <row r="129" spans="1:12" ht="15">
      <c r="A129" s="393"/>
      <c r="B129" s="389" t="s">
        <v>198</v>
      </c>
      <c r="C129" s="450"/>
      <c r="D129" s="386"/>
      <c r="E129" s="386"/>
      <c r="F129" s="387"/>
      <c r="G129" s="410"/>
      <c r="H129" s="411"/>
      <c r="I129" s="450"/>
      <c r="J129" s="386"/>
      <c r="K129" s="386"/>
      <c r="L129" s="387"/>
    </row>
    <row r="130" spans="1:12" ht="15">
      <c r="A130" s="393"/>
      <c r="B130" s="389" t="s">
        <v>199</v>
      </c>
      <c r="C130" s="450"/>
      <c r="D130" s="386"/>
      <c r="E130" s="386"/>
      <c r="F130" s="387"/>
      <c r="G130" s="410"/>
      <c r="H130" s="411"/>
      <c r="I130" s="450"/>
      <c r="J130" s="386"/>
      <c r="K130" s="386"/>
      <c r="L130" s="387"/>
    </row>
    <row r="131" spans="1:12" ht="15">
      <c r="A131" s="393"/>
      <c r="B131" s="389" t="s">
        <v>200</v>
      </c>
      <c r="C131" s="450"/>
      <c r="D131" s="386"/>
      <c r="E131" s="386"/>
      <c r="F131" s="387"/>
      <c r="G131" s="410"/>
      <c r="H131" s="411"/>
      <c r="I131" s="450"/>
      <c r="J131" s="386"/>
      <c r="K131" s="386"/>
      <c r="L131" s="387"/>
    </row>
    <row r="132" spans="1:12" ht="15">
      <c r="A132" s="393" t="s">
        <v>190</v>
      </c>
      <c r="B132" s="394" t="s">
        <v>201</v>
      </c>
      <c r="C132" s="448">
        <f>SUM(C133:C135)</f>
        <v>0</v>
      </c>
      <c r="D132" s="448">
        <f>SUM(D133:D135)</f>
        <v>0</v>
      </c>
      <c r="E132" s="448">
        <f>SUM(E133:E135)</f>
        <v>0</v>
      </c>
      <c r="F132" s="449"/>
      <c r="G132" s="410"/>
      <c r="H132" s="410"/>
      <c r="I132" s="450"/>
      <c r="J132" s="386"/>
      <c r="K132" s="386"/>
      <c r="L132" s="449"/>
    </row>
    <row r="133" spans="1:12" ht="28.5">
      <c r="A133" s="410"/>
      <c r="B133" s="389" t="s">
        <v>202</v>
      </c>
      <c r="C133" s="450"/>
      <c r="D133" s="386"/>
      <c r="E133" s="386"/>
      <c r="F133" s="387"/>
      <c r="G133" s="410"/>
      <c r="H133" s="410"/>
      <c r="I133" s="450"/>
      <c r="J133" s="386"/>
      <c r="K133" s="386"/>
      <c r="L133" s="387"/>
    </row>
    <row r="134" spans="1:12" ht="28.5">
      <c r="A134" s="410"/>
      <c r="B134" s="389" t="s">
        <v>203</v>
      </c>
      <c r="C134" s="450"/>
      <c r="D134" s="386"/>
      <c r="E134" s="386"/>
      <c r="F134" s="387"/>
      <c r="G134" s="410"/>
      <c r="H134" s="410"/>
      <c r="I134" s="450"/>
      <c r="J134" s="386"/>
      <c r="K134" s="386"/>
      <c r="L134" s="387"/>
    </row>
    <row r="135" spans="1:12" ht="15" thickBot="1">
      <c r="A135" s="412"/>
      <c r="B135" s="399" t="s">
        <v>204</v>
      </c>
      <c r="C135" s="450">
        <v>0</v>
      </c>
      <c r="D135" s="413"/>
      <c r="E135" s="413"/>
      <c r="F135" s="414"/>
      <c r="G135" s="412"/>
      <c r="H135" s="415"/>
      <c r="I135" s="457"/>
      <c r="J135" s="416"/>
      <c r="K135" s="416"/>
      <c r="L135" s="414"/>
    </row>
    <row r="136" spans="1:12" ht="15.75" thickBot="1">
      <c r="A136" s="368"/>
      <c r="B136" s="372" t="s">
        <v>205</v>
      </c>
      <c r="C136" s="373">
        <f>SUM(C137:C144)</f>
        <v>203645993</v>
      </c>
      <c r="D136" s="373">
        <f>SUM(D137:D144)</f>
        <v>169313803</v>
      </c>
      <c r="E136" s="373">
        <f>SUM(E137:E144)</f>
        <v>169313803</v>
      </c>
      <c r="F136" s="404">
        <f>+E136/D136</f>
        <v>1</v>
      </c>
      <c r="G136" s="368"/>
      <c r="H136" s="419" t="s">
        <v>206</v>
      </c>
      <c r="I136" s="420">
        <f>SUM(I137:I144)</f>
        <v>230547580</v>
      </c>
      <c r="J136" s="420">
        <f>SUM(J137:J144)</f>
        <v>258894361</v>
      </c>
      <c r="K136" s="420">
        <f>SUM(K137:K144)</f>
        <v>181358147</v>
      </c>
      <c r="L136" s="404">
        <f>+K136/J136</f>
        <v>0.7005102247089885</v>
      </c>
    </row>
    <row r="137" spans="1:12" ht="42.75">
      <c r="A137" s="381" t="s">
        <v>111</v>
      </c>
      <c r="B137" s="421" t="s">
        <v>128</v>
      </c>
      <c r="C137" s="450"/>
      <c r="D137" s="422"/>
      <c r="E137" s="422"/>
      <c r="F137" s="423"/>
      <c r="G137" s="424" t="s">
        <v>111</v>
      </c>
      <c r="H137" s="421" t="s">
        <v>134</v>
      </c>
      <c r="I137" s="447"/>
      <c r="J137" s="383"/>
      <c r="K137" s="383"/>
      <c r="L137" s="423"/>
    </row>
    <row r="138" spans="1:12" ht="15" customHeight="1">
      <c r="A138" s="384" t="s">
        <v>112</v>
      </c>
      <c r="B138" s="425" t="s">
        <v>120</v>
      </c>
      <c r="C138" s="450"/>
      <c r="D138" s="426"/>
      <c r="E138" s="426"/>
      <c r="F138" s="427"/>
      <c r="G138" s="428" t="s">
        <v>112</v>
      </c>
      <c r="H138" s="425" t="s">
        <v>135</v>
      </c>
      <c r="I138" s="447"/>
      <c r="J138" s="383"/>
      <c r="K138" s="383"/>
      <c r="L138" s="427"/>
    </row>
    <row r="139" spans="1:12" ht="15" customHeight="1">
      <c r="A139" s="384" t="s">
        <v>113</v>
      </c>
      <c r="B139" s="425" t="s">
        <v>121</v>
      </c>
      <c r="C139" s="450"/>
      <c r="D139" s="426"/>
      <c r="E139" s="426"/>
      <c r="F139" s="427"/>
      <c r="G139" s="428" t="s">
        <v>113</v>
      </c>
      <c r="H139" s="425" t="s">
        <v>136</v>
      </c>
      <c r="I139" s="447"/>
      <c r="J139" s="383"/>
      <c r="K139" s="383"/>
      <c r="L139" s="427"/>
    </row>
    <row r="140" spans="1:12" ht="15" customHeight="1">
      <c r="A140" s="384" t="s">
        <v>114</v>
      </c>
      <c r="B140" s="425" t="s">
        <v>122</v>
      </c>
      <c r="C140" s="450"/>
      <c r="D140" s="426"/>
      <c r="E140" s="426"/>
      <c r="F140" s="427"/>
      <c r="G140" s="428" t="s">
        <v>114</v>
      </c>
      <c r="H140" s="425" t="s">
        <v>137</v>
      </c>
      <c r="I140" s="447"/>
      <c r="J140" s="383"/>
      <c r="K140" s="383"/>
      <c r="L140" s="427"/>
    </row>
    <row r="141" spans="1:12" ht="15" customHeight="1">
      <c r="A141" s="384" t="s">
        <v>115</v>
      </c>
      <c r="B141" s="425" t="s">
        <v>123</v>
      </c>
      <c r="C141" s="450"/>
      <c r="D141" s="426"/>
      <c r="E141" s="426"/>
      <c r="F141" s="427"/>
      <c r="G141" s="428" t="s">
        <v>115</v>
      </c>
      <c r="H141" s="425" t="s">
        <v>138</v>
      </c>
      <c r="I141" s="447"/>
      <c r="J141" s="383"/>
      <c r="K141" s="383"/>
      <c r="L141" s="427"/>
    </row>
    <row r="142" spans="1:12" ht="28.5">
      <c r="A142" s="384" t="s">
        <v>116</v>
      </c>
      <c r="B142" s="425" t="s">
        <v>124</v>
      </c>
      <c r="C142" s="450">
        <f>303625871-99979878</f>
        <v>203645993</v>
      </c>
      <c r="D142" s="426">
        <f>278425798-120331995</f>
        <v>158093803</v>
      </c>
      <c r="E142" s="426">
        <v>158093803</v>
      </c>
      <c r="F142" s="427">
        <f>+E142/D142</f>
        <v>1</v>
      </c>
      <c r="G142" s="428" t="s">
        <v>116</v>
      </c>
      <c r="H142" s="425" t="s">
        <v>218</v>
      </c>
      <c r="I142" s="447"/>
      <c r="J142" s="383"/>
      <c r="K142" s="383"/>
      <c r="L142" s="427"/>
    </row>
    <row r="143" spans="1:12" ht="28.5">
      <c r="A143" s="429" t="s">
        <v>117</v>
      </c>
      <c r="B143" s="430" t="s">
        <v>125</v>
      </c>
      <c r="C143" s="450"/>
      <c r="D143" s="438"/>
      <c r="E143" s="438"/>
      <c r="F143" s="431"/>
      <c r="G143" s="432" t="s">
        <v>117</v>
      </c>
      <c r="H143" s="430" t="s">
        <v>139</v>
      </c>
      <c r="I143" s="447">
        <v>219327580</v>
      </c>
      <c r="J143" s="383">
        <v>247674361</v>
      </c>
      <c r="K143" s="383">
        <v>170138147</v>
      </c>
      <c r="L143" s="431">
        <f>+K143/J143</f>
        <v>0.6869429129162061</v>
      </c>
    </row>
    <row r="144" spans="1:12" ht="15.75" thickBot="1">
      <c r="A144" s="429" t="s">
        <v>213</v>
      </c>
      <c r="B144" s="433" t="s">
        <v>214</v>
      </c>
      <c r="C144" s="458"/>
      <c r="D144" s="413">
        <v>11220000</v>
      </c>
      <c r="E144" s="413">
        <v>11220000</v>
      </c>
      <c r="F144" s="414">
        <f>+E144/D144</f>
        <v>1</v>
      </c>
      <c r="G144" s="459" t="s">
        <v>213</v>
      </c>
      <c r="H144" s="433" t="s">
        <v>214</v>
      </c>
      <c r="I144" s="460">
        <v>11220000</v>
      </c>
      <c r="J144" s="416">
        <v>11220000</v>
      </c>
      <c r="K144" s="416">
        <v>11220000</v>
      </c>
      <c r="L144" s="414">
        <f>+K144/J144</f>
        <v>1</v>
      </c>
    </row>
    <row r="145" spans="1:14" ht="15.75" thickBot="1">
      <c r="A145" s="368"/>
      <c r="B145" s="372" t="s">
        <v>207</v>
      </c>
      <c r="C145" s="374">
        <f>SUM(C146:C152)</f>
        <v>99979878</v>
      </c>
      <c r="D145" s="374">
        <f>SUM(D146:D152)</f>
        <v>120331995</v>
      </c>
      <c r="E145" s="374">
        <f>SUM(E146:E152)</f>
        <v>120331995</v>
      </c>
      <c r="F145" s="375">
        <f>+E145/D145</f>
        <v>1</v>
      </c>
      <c r="G145" s="436"/>
      <c r="H145" s="372" t="s">
        <v>208</v>
      </c>
      <c r="I145" s="417">
        <f>SUM(I146:I152)</f>
        <v>0</v>
      </c>
      <c r="J145" s="417">
        <f>SUM(J146:J152)</f>
        <v>0</v>
      </c>
      <c r="K145" s="417">
        <f>SUM(K146:K152)</f>
        <v>0</v>
      </c>
      <c r="L145" s="375"/>
      <c r="M145" s="441"/>
      <c r="N145" s="441"/>
    </row>
    <row r="146" spans="1:12" ht="42.75">
      <c r="A146" s="381" t="s">
        <v>111</v>
      </c>
      <c r="B146" s="421" t="s">
        <v>119</v>
      </c>
      <c r="C146" s="450"/>
      <c r="D146" s="422"/>
      <c r="E146" s="422"/>
      <c r="F146" s="423"/>
      <c r="G146" s="424" t="s">
        <v>111</v>
      </c>
      <c r="H146" s="421" t="s">
        <v>134</v>
      </c>
      <c r="I146" s="447"/>
      <c r="J146" s="383"/>
      <c r="K146" s="383"/>
      <c r="L146" s="423"/>
    </row>
    <row r="147" spans="1:12" ht="15" customHeight="1">
      <c r="A147" s="384" t="s">
        <v>112</v>
      </c>
      <c r="B147" s="425" t="s">
        <v>120</v>
      </c>
      <c r="C147" s="450"/>
      <c r="D147" s="426"/>
      <c r="E147" s="426"/>
      <c r="F147" s="427"/>
      <c r="G147" s="428" t="s">
        <v>112</v>
      </c>
      <c r="H147" s="425" t="s">
        <v>135</v>
      </c>
      <c r="I147" s="447"/>
      <c r="J147" s="383"/>
      <c r="K147" s="383"/>
      <c r="L147" s="427"/>
    </row>
    <row r="148" spans="1:12" ht="15" customHeight="1">
      <c r="A148" s="384" t="s">
        <v>113</v>
      </c>
      <c r="B148" s="425" t="s">
        <v>121</v>
      </c>
      <c r="C148" s="450"/>
      <c r="D148" s="426"/>
      <c r="E148" s="426"/>
      <c r="F148" s="427"/>
      <c r="G148" s="428" t="s">
        <v>113</v>
      </c>
      <c r="H148" s="425" t="s">
        <v>136</v>
      </c>
      <c r="I148" s="447"/>
      <c r="J148" s="383"/>
      <c r="K148" s="383"/>
      <c r="L148" s="427"/>
    </row>
    <row r="149" spans="1:12" ht="19.5" customHeight="1">
      <c r="A149" s="384" t="s">
        <v>114</v>
      </c>
      <c r="B149" s="425" t="s">
        <v>122</v>
      </c>
      <c r="C149" s="450"/>
      <c r="D149" s="426"/>
      <c r="E149" s="426"/>
      <c r="F149" s="427"/>
      <c r="G149" s="428" t="s">
        <v>114</v>
      </c>
      <c r="H149" s="425" t="s">
        <v>137</v>
      </c>
      <c r="I149" s="447"/>
      <c r="J149" s="383"/>
      <c r="K149" s="383"/>
      <c r="L149" s="427"/>
    </row>
    <row r="150" spans="1:12" ht="19.5" customHeight="1">
      <c r="A150" s="384" t="s">
        <v>115</v>
      </c>
      <c r="B150" s="425" t="s">
        <v>123</v>
      </c>
      <c r="C150" s="450"/>
      <c r="D150" s="426"/>
      <c r="E150" s="426"/>
      <c r="F150" s="427"/>
      <c r="G150" s="428" t="s">
        <v>115</v>
      </c>
      <c r="H150" s="425" t="s">
        <v>138</v>
      </c>
      <c r="I150" s="447"/>
      <c r="J150" s="383"/>
      <c r="K150" s="383"/>
      <c r="L150" s="427"/>
    </row>
    <row r="151" spans="1:14" ht="28.5">
      <c r="A151" s="384" t="s">
        <v>116</v>
      </c>
      <c r="B151" s="425" t="s">
        <v>124</v>
      </c>
      <c r="C151" s="450">
        <v>99979878</v>
      </c>
      <c r="D151" s="426">
        <v>120331995</v>
      </c>
      <c r="E151" s="426">
        <v>120331995</v>
      </c>
      <c r="F151" s="427">
        <f>+E151/D151</f>
        <v>1</v>
      </c>
      <c r="G151" s="428" t="s">
        <v>116</v>
      </c>
      <c r="H151" s="425" t="s">
        <v>218</v>
      </c>
      <c r="I151" s="447"/>
      <c r="J151" s="383"/>
      <c r="K151" s="383"/>
      <c r="L151" s="427"/>
      <c r="N151" s="441"/>
    </row>
    <row r="152" spans="1:12" ht="29.25" thickBot="1">
      <c r="A152" s="429" t="s">
        <v>117</v>
      </c>
      <c r="B152" s="437" t="s">
        <v>125</v>
      </c>
      <c r="C152" s="450"/>
      <c r="D152" s="438"/>
      <c r="E152" s="438"/>
      <c r="F152" s="431"/>
      <c r="G152" s="432" t="s">
        <v>117</v>
      </c>
      <c r="H152" s="439" t="s">
        <v>139</v>
      </c>
      <c r="I152" s="447">
        <v>0</v>
      </c>
      <c r="J152" s="383">
        <v>0</v>
      </c>
      <c r="K152" s="383">
        <v>0</v>
      </c>
      <c r="L152" s="431"/>
    </row>
    <row r="153" spans="1:15" ht="15.75" thickBot="1">
      <c r="A153" s="440"/>
      <c r="B153" s="368" t="s">
        <v>148</v>
      </c>
      <c r="C153" s="461">
        <f>+C145+C136+C119+C82</f>
        <v>843493955</v>
      </c>
      <c r="D153" s="374">
        <f>+D145+D136+D119+D82</f>
        <v>943097791</v>
      </c>
      <c r="E153" s="374">
        <f>+E145+E136+E119+E82</f>
        <v>866670256</v>
      </c>
      <c r="F153" s="375">
        <f>+E153/D153</f>
        <v>0.9189611769539178</v>
      </c>
      <c r="G153" s="440"/>
      <c r="H153" s="368" t="s">
        <v>149</v>
      </c>
      <c r="I153" s="374">
        <f>+I82+I119+I136+I145</f>
        <v>843493955</v>
      </c>
      <c r="J153" s="374">
        <f>+J82+J119+J136+J145</f>
        <v>943097791</v>
      </c>
      <c r="K153" s="374">
        <f>+K82+K119+K136+K145</f>
        <v>573034158</v>
      </c>
      <c r="L153" s="375">
        <f>+K153/J153</f>
        <v>0.6076084192630666</v>
      </c>
      <c r="M153" s="441"/>
      <c r="O153" s="441"/>
    </row>
    <row r="154" spans="1:13" ht="15">
      <c r="A154" s="442"/>
      <c r="B154" s="365"/>
      <c r="C154" s="443"/>
      <c r="D154" s="443"/>
      <c r="E154" s="443"/>
      <c r="F154" s="444"/>
      <c r="G154" s="442"/>
      <c r="H154" s="365"/>
      <c r="I154" s="443"/>
      <c r="J154" s="443"/>
      <c r="K154" s="441"/>
      <c r="L154" s="444"/>
      <c r="M154" s="441"/>
    </row>
    <row r="155" spans="9:12" ht="15">
      <c r="I155" s="363"/>
      <c r="L155" s="364" t="s">
        <v>908</v>
      </c>
    </row>
    <row r="156" spans="1:14" ht="15">
      <c r="A156" s="711" t="s">
        <v>873</v>
      </c>
      <c r="B156" s="711"/>
      <c r="C156" s="711"/>
      <c r="D156" s="711"/>
      <c r="E156" s="711"/>
      <c r="F156" s="711"/>
      <c r="G156" s="711"/>
      <c r="H156" s="711"/>
      <c r="I156" s="711"/>
      <c r="J156" s="711"/>
      <c r="N156" s="441"/>
    </row>
    <row r="157" spans="9:12" ht="15" thickBot="1">
      <c r="I157" s="366"/>
      <c r="L157" s="366" t="s">
        <v>215</v>
      </c>
    </row>
    <row r="158" spans="1:12" ht="30.75" thickBot="1">
      <c r="A158" s="367"/>
      <c r="B158" s="368" t="s">
        <v>104</v>
      </c>
      <c r="C158" s="369" t="s">
        <v>305</v>
      </c>
      <c r="D158" s="369" t="s">
        <v>843</v>
      </c>
      <c r="E158" s="369" t="s">
        <v>303</v>
      </c>
      <c r="F158" s="370" t="s">
        <v>304</v>
      </c>
      <c r="G158" s="371"/>
      <c r="H158" s="368" t="s">
        <v>105</v>
      </c>
      <c r="I158" s="369" t="str">
        <f>C158</f>
        <v>Eredeti előirányzat </v>
      </c>
      <c r="J158" s="369" t="str">
        <f>D158</f>
        <v>Módosított előirányzta V.</v>
      </c>
      <c r="K158" s="369" t="s">
        <v>303</v>
      </c>
      <c r="L158" s="370" t="s">
        <v>304</v>
      </c>
    </row>
    <row r="159" spans="1:12" ht="15.75" thickBot="1">
      <c r="A159" s="367"/>
      <c r="B159" s="372" t="s">
        <v>155</v>
      </c>
      <c r="C159" s="373">
        <f>+C160+C173+C181+C192</f>
        <v>18393765</v>
      </c>
      <c r="D159" s="373">
        <f>+D160+D173+D181+D192</f>
        <v>112684916</v>
      </c>
      <c r="E159" s="373">
        <f>+E160+E173+E181+E192</f>
        <v>66226730</v>
      </c>
      <c r="F159" s="375">
        <f>+E159/D159</f>
        <v>0.5877160169334466</v>
      </c>
      <c r="G159" s="371"/>
      <c r="H159" s="372" t="s">
        <v>156</v>
      </c>
      <c r="I159" s="376">
        <f>SUM(I160:I164)</f>
        <v>536373500</v>
      </c>
      <c r="J159" s="376">
        <f>SUM(J160:J164)</f>
        <v>597551904</v>
      </c>
      <c r="K159" s="376">
        <f>SUM(K160:K164)</f>
        <v>275641250</v>
      </c>
      <c r="L159" s="375">
        <f>+K159/J159</f>
        <v>0.4612841966611824</v>
      </c>
    </row>
    <row r="160" spans="1:12" ht="15">
      <c r="A160" s="377" t="s">
        <v>23</v>
      </c>
      <c r="B160" s="378" t="s">
        <v>157</v>
      </c>
      <c r="C160" s="379">
        <f>+C161+C168+C169+C170+C171+C172</f>
        <v>10293765</v>
      </c>
      <c r="D160" s="379">
        <f>+D161+D168+D169+D170+D171+D172</f>
        <v>104384669</v>
      </c>
      <c r="E160" s="379">
        <f>+E161+E168+E169+E170+E171+E172</f>
        <v>57948064</v>
      </c>
      <c r="F160" s="380">
        <f>+E160/D160</f>
        <v>0.555139605797859</v>
      </c>
      <c r="G160" s="381" t="s">
        <v>23</v>
      </c>
      <c r="H160" s="382" t="s">
        <v>80</v>
      </c>
      <c r="I160" s="383">
        <v>266406681</v>
      </c>
      <c r="J160" s="383">
        <v>330964764</v>
      </c>
      <c r="K160" s="383">
        <v>176819895</v>
      </c>
      <c r="L160" s="380">
        <f>+K160/J160</f>
        <v>0.5342559517906867</v>
      </c>
    </row>
    <row r="161" spans="1:12" ht="30">
      <c r="A161" s="384" t="s">
        <v>111</v>
      </c>
      <c r="B161" s="385" t="s">
        <v>158</v>
      </c>
      <c r="C161" s="386">
        <v>0</v>
      </c>
      <c r="D161" s="386">
        <f>SUM(D162:D167)</f>
        <v>0</v>
      </c>
      <c r="E161" s="386">
        <f>SUM(E162:E167)</f>
        <v>0</v>
      </c>
      <c r="F161" s="387"/>
      <c r="G161" s="384" t="s">
        <v>45</v>
      </c>
      <c r="H161" s="388" t="s">
        <v>147</v>
      </c>
      <c r="I161" s="383">
        <v>56259036</v>
      </c>
      <c r="J161" s="383">
        <v>64739706</v>
      </c>
      <c r="K161" s="383">
        <v>29956891</v>
      </c>
      <c r="L161" s="387">
        <f>+K161/J161</f>
        <v>0.46272825211779617</v>
      </c>
    </row>
    <row r="162" spans="1:12" ht="15">
      <c r="A162" s="384"/>
      <c r="B162" s="389" t="s">
        <v>159</v>
      </c>
      <c r="C162" s="386"/>
      <c r="D162" s="386"/>
      <c r="E162" s="386"/>
      <c r="F162" s="387"/>
      <c r="G162" s="384" t="s">
        <v>56</v>
      </c>
      <c r="H162" s="388" t="s">
        <v>83</v>
      </c>
      <c r="I162" s="383">
        <v>158130927</v>
      </c>
      <c r="J162" s="383">
        <v>140195645</v>
      </c>
      <c r="K162" s="383">
        <v>59594888</v>
      </c>
      <c r="L162" s="387">
        <f>+K162/J162</f>
        <v>0.4250837320945312</v>
      </c>
    </row>
    <row r="163" spans="1:12" ht="28.5">
      <c r="A163" s="384"/>
      <c r="B163" s="389" t="s">
        <v>160</v>
      </c>
      <c r="C163" s="386"/>
      <c r="D163" s="386"/>
      <c r="E163" s="386"/>
      <c r="F163" s="387"/>
      <c r="G163" s="384" t="s">
        <v>64</v>
      </c>
      <c r="H163" s="388" t="s">
        <v>84</v>
      </c>
      <c r="I163" s="383"/>
      <c r="J163" s="383"/>
      <c r="K163" s="383"/>
      <c r="L163" s="387"/>
    </row>
    <row r="164" spans="1:12" ht="29.25">
      <c r="A164" s="384"/>
      <c r="B164" s="389" t="s">
        <v>161</v>
      </c>
      <c r="C164" s="386"/>
      <c r="D164" s="386"/>
      <c r="E164" s="386"/>
      <c r="F164" s="387"/>
      <c r="G164" s="384" t="s">
        <v>100</v>
      </c>
      <c r="H164" s="388" t="s">
        <v>217</v>
      </c>
      <c r="I164" s="383">
        <v>55576856</v>
      </c>
      <c r="J164" s="383">
        <v>61651789</v>
      </c>
      <c r="K164" s="383">
        <v>9269576</v>
      </c>
      <c r="L164" s="387">
        <f>+K164/J164</f>
        <v>0.1503537229065648</v>
      </c>
    </row>
    <row r="165" spans="1:12" ht="15">
      <c r="A165" s="384"/>
      <c r="B165" s="389" t="s">
        <v>162</v>
      </c>
      <c r="C165" s="386"/>
      <c r="D165" s="386"/>
      <c r="E165" s="386"/>
      <c r="F165" s="387"/>
      <c r="G165" s="384"/>
      <c r="H165" s="388"/>
      <c r="I165" s="383"/>
      <c r="J165" s="383"/>
      <c r="K165" s="383"/>
      <c r="L165" s="387"/>
    </row>
    <row r="166" spans="1:12" ht="15">
      <c r="A166" s="384"/>
      <c r="B166" s="389" t="s">
        <v>163</v>
      </c>
      <c r="C166" s="386"/>
      <c r="D166" s="386"/>
      <c r="E166" s="386"/>
      <c r="F166" s="387"/>
      <c r="G166" s="384"/>
      <c r="H166" s="384"/>
      <c r="I166" s="391"/>
      <c r="J166" s="391"/>
      <c r="K166" s="391"/>
      <c r="L166" s="387"/>
    </row>
    <row r="167" spans="1:12" ht="15">
      <c r="A167" s="384"/>
      <c r="B167" s="389" t="s">
        <v>164</v>
      </c>
      <c r="C167" s="386"/>
      <c r="D167" s="386"/>
      <c r="E167" s="386"/>
      <c r="F167" s="387"/>
      <c r="G167" s="384"/>
      <c r="H167" s="384"/>
      <c r="I167" s="391"/>
      <c r="J167" s="391"/>
      <c r="K167" s="391"/>
      <c r="L167" s="387"/>
    </row>
    <row r="168" spans="1:12" ht="15">
      <c r="A168" s="384" t="s">
        <v>112</v>
      </c>
      <c r="B168" s="392" t="s">
        <v>165</v>
      </c>
      <c r="C168" s="386"/>
      <c r="D168" s="386"/>
      <c r="E168" s="386"/>
      <c r="F168" s="387"/>
      <c r="G168" s="384"/>
      <c r="H168" s="384"/>
      <c r="I168" s="391"/>
      <c r="J168" s="391"/>
      <c r="K168" s="391"/>
      <c r="L168" s="387"/>
    </row>
    <row r="169" spans="1:12" ht="30">
      <c r="A169" s="384" t="s">
        <v>113</v>
      </c>
      <c r="B169" s="392" t="s">
        <v>166</v>
      </c>
      <c r="C169" s="386"/>
      <c r="D169" s="386"/>
      <c r="E169" s="386"/>
      <c r="F169" s="387"/>
      <c r="G169" s="384"/>
      <c r="H169" s="384"/>
      <c r="I169" s="391"/>
      <c r="J169" s="391"/>
      <c r="K169" s="391"/>
      <c r="L169" s="387"/>
    </row>
    <row r="170" spans="1:12" ht="30">
      <c r="A170" s="384" t="s">
        <v>114</v>
      </c>
      <c r="B170" s="392" t="s">
        <v>167</v>
      </c>
      <c r="C170" s="386"/>
      <c r="D170" s="386"/>
      <c r="E170" s="386"/>
      <c r="F170" s="387"/>
      <c r="G170" s="384"/>
      <c r="H170" s="384"/>
      <c r="I170" s="391"/>
      <c r="J170" s="391"/>
      <c r="K170" s="391"/>
      <c r="L170" s="387"/>
    </row>
    <row r="171" spans="1:12" ht="30">
      <c r="A171" s="384" t="s">
        <v>115</v>
      </c>
      <c r="B171" s="392" t="s">
        <v>168</v>
      </c>
      <c r="C171" s="386"/>
      <c r="D171" s="386"/>
      <c r="E171" s="386"/>
      <c r="F171" s="387"/>
      <c r="G171" s="384"/>
      <c r="H171" s="384"/>
      <c r="I171" s="391"/>
      <c r="J171" s="391"/>
      <c r="K171" s="391"/>
      <c r="L171" s="387"/>
    </row>
    <row r="172" spans="1:12" ht="30">
      <c r="A172" s="384" t="s">
        <v>116</v>
      </c>
      <c r="B172" s="392" t="s">
        <v>169</v>
      </c>
      <c r="C172" s="386">
        <v>10293765</v>
      </c>
      <c r="D172" s="386">
        <v>104384669</v>
      </c>
      <c r="E172" s="386">
        <v>57948064</v>
      </c>
      <c r="F172" s="387">
        <f>+E172/D172</f>
        <v>0.555139605797859</v>
      </c>
      <c r="G172" s="384"/>
      <c r="H172" s="384"/>
      <c r="I172" s="391"/>
      <c r="J172" s="391"/>
      <c r="K172" s="391"/>
      <c r="L172" s="387"/>
    </row>
    <row r="173" spans="1:12" ht="15">
      <c r="A173" s="393" t="s">
        <v>45</v>
      </c>
      <c r="B173" s="394" t="s">
        <v>9</v>
      </c>
      <c r="C173" s="395">
        <v>0</v>
      </c>
      <c r="D173" s="395">
        <f>SUM(D174:D180)</f>
        <v>0</v>
      </c>
      <c r="E173" s="395"/>
      <c r="F173" s="396"/>
      <c r="G173" s="397"/>
      <c r="H173" s="384"/>
      <c r="I173" s="391"/>
      <c r="J173" s="391"/>
      <c r="K173" s="391"/>
      <c r="L173" s="396"/>
    </row>
    <row r="174" spans="1:12" ht="15">
      <c r="A174" s="393"/>
      <c r="B174" s="397" t="s">
        <v>140</v>
      </c>
      <c r="C174" s="386"/>
      <c r="D174" s="386"/>
      <c r="E174" s="386"/>
      <c r="F174" s="387"/>
      <c r="G174" s="397"/>
      <c r="H174" s="384"/>
      <c r="I174" s="391"/>
      <c r="J174" s="391"/>
      <c r="K174" s="391"/>
      <c r="L174" s="387"/>
    </row>
    <row r="175" spans="1:12" ht="15">
      <c r="A175" s="393"/>
      <c r="B175" s="397" t="s">
        <v>141</v>
      </c>
      <c r="C175" s="386"/>
      <c r="D175" s="386"/>
      <c r="E175" s="386"/>
      <c r="F175" s="387"/>
      <c r="G175" s="397"/>
      <c r="H175" s="384"/>
      <c r="I175" s="391"/>
      <c r="J175" s="391"/>
      <c r="K175" s="391"/>
      <c r="L175" s="387"/>
    </row>
    <row r="176" spans="1:12" ht="15">
      <c r="A176" s="393"/>
      <c r="B176" s="397" t="s">
        <v>142</v>
      </c>
      <c r="C176" s="386"/>
      <c r="D176" s="386"/>
      <c r="E176" s="386"/>
      <c r="F176" s="387"/>
      <c r="G176" s="397"/>
      <c r="H176" s="384"/>
      <c r="I176" s="391"/>
      <c r="J176" s="391"/>
      <c r="K176" s="391"/>
      <c r="L176" s="387"/>
    </row>
    <row r="177" spans="1:12" ht="15">
      <c r="A177" s="393"/>
      <c r="B177" s="397" t="s">
        <v>143</v>
      </c>
      <c r="C177" s="386"/>
      <c r="D177" s="386"/>
      <c r="E177" s="386"/>
      <c r="F177" s="387"/>
      <c r="G177" s="397"/>
      <c r="H177" s="384"/>
      <c r="I177" s="391"/>
      <c r="J177" s="391"/>
      <c r="K177" s="391"/>
      <c r="L177" s="387"/>
    </row>
    <row r="178" spans="1:12" ht="15">
      <c r="A178" s="393"/>
      <c r="B178" s="397" t="s">
        <v>144</v>
      </c>
      <c r="C178" s="386"/>
      <c r="D178" s="386"/>
      <c r="E178" s="386"/>
      <c r="F178" s="387"/>
      <c r="G178" s="397"/>
      <c r="H178" s="384"/>
      <c r="I178" s="391"/>
      <c r="J178" s="391"/>
      <c r="K178" s="391"/>
      <c r="L178" s="387"/>
    </row>
    <row r="179" spans="1:12" ht="15">
      <c r="A179" s="393"/>
      <c r="B179" s="397" t="s">
        <v>145</v>
      </c>
      <c r="C179" s="386"/>
      <c r="D179" s="386"/>
      <c r="E179" s="386"/>
      <c r="F179" s="387"/>
      <c r="G179" s="397"/>
      <c r="H179" s="384"/>
      <c r="I179" s="391"/>
      <c r="J179" s="391"/>
      <c r="K179" s="391"/>
      <c r="L179" s="387"/>
    </row>
    <row r="180" spans="1:12" ht="15">
      <c r="A180" s="393"/>
      <c r="B180" s="397" t="s">
        <v>146</v>
      </c>
      <c r="C180" s="386"/>
      <c r="D180" s="386"/>
      <c r="E180" s="386"/>
      <c r="F180" s="387"/>
      <c r="G180" s="397"/>
      <c r="H180" s="384"/>
      <c r="I180" s="391"/>
      <c r="J180" s="391"/>
      <c r="K180" s="391"/>
      <c r="L180" s="387"/>
    </row>
    <row r="181" spans="1:12" ht="15">
      <c r="A181" s="393" t="s">
        <v>56</v>
      </c>
      <c r="B181" s="394" t="s">
        <v>170</v>
      </c>
      <c r="C181" s="386">
        <f>SUM(C182:C191)</f>
        <v>8100000</v>
      </c>
      <c r="D181" s="386">
        <f>SUM(D182:D191)</f>
        <v>8300247</v>
      </c>
      <c r="E181" s="386">
        <f>SUM(E182:E191)</f>
        <v>8278666</v>
      </c>
      <c r="F181" s="387">
        <f>+E181/D181</f>
        <v>0.9973999568928491</v>
      </c>
      <c r="G181" s="397"/>
      <c r="H181" s="384"/>
      <c r="I181" s="391"/>
      <c r="J181" s="391"/>
      <c r="K181" s="391"/>
      <c r="L181" s="387"/>
    </row>
    <row r="182" spans="1:12" ht="15">
      <c r="A182" s="393"/>
      <c r="B182" s="389" t="s">
        <v>171</v>
      </c>
      <c r="C182" s="386"/>
      <c r="D182" s="386"/>
      <c r="E182" s="386"/>
      <c r="F182" s="387"/>
      <c r="G182" s="397"/>
      <c r="H182" s="384"/>
      <c r="I182" s="391"/>
      <c r="J182" s="391"/>
      <c r="K182" s="391"/>
      <c r="L182" s="387"/>
    </row>
    <row r="183" spans="1:12" ht="15">
      <c r="A183" s="393"/>
      <c r="B183" s="389" t="s">
        <v>172</v>
      </c>
      <c r="C183" s="386">
        <v>0</v>
      </c>
      <c r="D183" s="386">
        <v>177800</v>
      </c>
      <c r="E183" s="386">
        <v>177800</v>
      </c>
      <c r="F183" s="387">
        <f>+E183/D183</f>
        <v>1</v>
      </c>
      <c r="G183" s="397"/>
      <c r="H183" s="384"/>
      <c r="I183" s="391"/>
      <c r="J183" s="391"/>
      <c r="K183" s="391"/>
      <c r="L183" s="387"/>
    </row>
    <row r="184" spans="1:12" ht="15">
      <c r="A184" s="393"/>
      <c r="B184" s="389" t="s">
        <v>173</v>
      </c>
      <c r="C184" s="386">
        <v>8100000</v>
      </c>
      <c r="D184" s="386">
        <v>8119091</v>
      </c>
      <c r="E184" s="386">
        <v>8097510</v>
      </c>
      <c r="F184" s="387">
        <f>+E184/D184</f>
        <v>0.9973419438210509</v>
      </c>
      <c r="G184" s="397"/>
      <c r="H184" s="384"/>
      <c r="I184" s="391"/>
      <c r="J184" s="391"/>
      <c r="K184" s="391"/>
      <c r="L184" s="387"/>
    </row>
    <row r="185" spans="1:12" ht="15">
      <c r="A185" s="393"/>
      <c r="B185" s="389" t="s">
        <v>174</v>
      </c>
      <c r="C185" s="386"/>
      <c r="D185" s="386"/>
      <c r="E185" s="386"/>
      <c r="F185" s="387"/>
      <c r="G185" s="397"/>
      <c r="H185" s="384"/>
      <c r="I185" s="391"/>
      <c r="J185" s="391"/>
      <c r="K185" s="391"/>
      <c r="L185" s="387"/>
    </row>
    <row r="186" spans="1:12" ht="15">
      <c r="A186" s="393"/>
      <c r="B186" s="389" t="s">
        <v>175</v>
      </c>
      <c r="C186" s="386"/>
      <c r="D186" s="386"/>
      <c r="E186" s="386"/>
      <c r="F186" s="387"/>
      <c r="G186" s="397"/>
      <c r="H186" s="384"/>
      <c r="I186" s="391"/>
      <c r="J186" s="391"/>
      <c r="K186" s="391"/>
      <c r="L186" s="387"/>
    </row>
    <row r="187" spans="1:12" ht="15">
      <c r="A187" s="393"/>
      <c r="B187" s="389" t="s">
        <v>176</v>
      </c>
      <c r="C187" s="386"/>
      <c r="D187" s="386"/>
      <c r="E187" s="386"/>
      <c r="F187" s="387"/>
      <c r="G187" s="397"/>
      <c r="H187" s="384"/>
      <c r="I187" s="391"/>
      <c r="J187" s="391"/>
      <c r="K187" s="391"/>
      <c r="L187" s="387"/>
    </row>
    <row r="188" spans="1:12" ht="15">
      <c r="A188" s="393"/>
      <c r="B188" s="389" t="s">
        <v>177</v>
      </c>
      <c r="C188" s="386"/>
      <c r="D188" s="386"/>
      <c r="E188" s="386"/>
      <c r="F188" s="387"/>
      <c r="G188" s="397"/>
      <c r="H188" s="384"/>
      <c r="I188" s="391"/>
      <c r="J188" s="391"/>
      <c r="K188" s="391"/>
      <c r="L188" s="387"/>
    </row>
    <row r="189" spans="1:12" ht="15">
      <c r="A189" s="393"/>
      <c r="B189" s="389" t="s">
        <v>178</v>
      </c>
      <c r="C189" s="386"/>
      <c r="D189" s="386"/>
      <c r="E189" s="386"/>
      <c r="F189" s="387"/>
      <c r="G189" s="397"/>
      <c r="H189" s="384"/>
      <c r="I189" s="391"/>
      <c r="J189" s="391"/>
      <c r="K189" s="391"/>
      <c r="L189" s="387"/>
    </row>
    <row r="190" spans="1:12" ht="15">
      <c r="A190" s="393"/>
      <c r="B190" s="389" t="s">
        <v>179</v>
      </c>
      <c r="C190" s="386"/>
      <c r="D190" s="386"/>
      <c r="E190" s="386"/>
      <c r="F190" s="387"/>
      <c r="G190" s="397"/>
      <c r="H190" s="384"/>
      <c r="I190" s="391"/>
      <c r="J190" s="391"/>
      <c r="K190" s="391"/>
      <c r="L190" s="387"/>
    </row>
    <row r="191" spans="1:12" ht="15">
      <c r="A191" s="393"/>
      <c r="B191" s="389" t="s">
        <v>180</v>
      </c>
      <c r="C191" s="386"/>
      <c r="D191" s="386">
        <v>3356</v>
      </c>
      <c r="E191" s="386">
        <v>3356</v>
      </c>
      <c r="F191" s="387">
        <f>+E191/D191</f>
        <v>1</v>
      </c>
      <c r="G191" s="397"/>
      <c r="H191" s="384"/>
      <c r="I191" s="391"/>
      <c r="J191" s="391"/>
      <c r="K191" s="391"/>
      <c r="L191" s="387"/>
    </row>
    <row r="192" spans="1:12" ht="15">
      <c r="A192" s="393" t="s">
        <v>64</v>
      </c>
      <c r="B192" s="394" t="s">
        <v>181</v>
      </c>
      <c r="C192" s="386">
        <f>C193+C194+C195</f>
        <v>0</v>
      </c>
      <c r="D192" s="386">
        <v>0</v>
      </c>
      <c r="E192" s="386">
        <v>0</v>
      </c>
      <c r="F192" s="387"/>
      <c r="G192" s="397"/>
      <c r="H192" s="384"/>
      <c r="I192" s="391"/>
      <c r="J192" s="391"/>
      <c r="K192" s="391"/>
      <c r="L192" s="387"/>
    </row>
    <row r="193" spans="1:12" ht="28.5">
      <c r="A193" s="397"/>
      <c r="B193" s="389" t="s">
        <v>182</v>
      </c>
      <c r="C193" s="386"/>
      <c r="D193" s="386"/>
      <c r="E193" s="386"/>
      <c r="F193" s="387"/>
      <c r="G193" s="397"/>
      <c r="H193" s="384"/>
      <c r="I193" s="391"/>
      <c r="J193" s="391"/>
      <c r="K193" s="391"/>
      <c r="L193" s="387"/>
    </row>
    <row r="194" spans="1:12" ht="28.5">
      <c r="A194" s="397"/>
      <c r="B194" s="389" t="s">
        <v>183</v>
      </c>
      <c r="C194" s="386"/>
      <c r="D194" s="386"/>
      <c r="E194" s="386"/>
      <c r="F194" s="387"/>
      <c r="G194" s="397"/>
      <c r="H194" s="384"/>
      <c r="I194" s="391"/>
      <c r="J194" s="391"/>
      <c r="K194" s="391"/>
      <c r="L194" s="387"/>
    </row>
    <row r="195" spans="1:12" ht="15.75" thickBot="1">
      <c r="A195" s="398"/>
      <c r="B195" s="399" t="s">
        <v>184</v>
      </c>
      <c r="C195" s="386">
        <v>0</v>
      </c>
      <c r="D195" s="386">
        <v>0</v>
      </c>
      <c r="E195" s="400">
        <v>0</v>
      </c>
      <c r="F195" s="401"/>
      <c r="G195" s="398"/>
      <c r="H195" s="402"/>
      <c r="I195" s="403"/>
      <c r="J195" s="403"/>
      <c r="K195" s="403"/>
      <c r="L195" s="401"/>
    </row>
    <row r="196" spans="1:12" ht="15.75" thickBot="1">
      <c r="A196" s="368"/>
      <c r="B196" s="372" t="s">
        <v>185</v>
      </c>
      <c r="C196" s="373">
        <f>+C197+C203+C209</f>
        <v>100000</v>
      </c>
      <c r="D196" s="373">
        <f>+D197+D203+D209</f>
        <v>136000</v>
      </c>
      <c r="E196" s="373">
        <f>+E197+E203+E209</f>
        <v>56050</v>
      </c>
      <c r="F196" s="404">
        <f>+E196/D196</f>
        <v>0.41213235294117645</v>
      </c>
      <c r="G196" s="368"/>
      <c r="H196" s="372" t="s">
        <v>186</v>
      </c>
      <c r="I196" s="373">
        <f>SUM(I197:I199)</f>
        <v>3553000</v>
      </c>
      <c r="J196" s="373">
        <f>SUM(J197:J199)</f>
        <v>39509107</v>
      </c>
      <c r="K196" s="373">
        <f>SUM(K197:K199)</f>
        <v>24767051</v>
      </c>
      <c r="L196" s="404">
        <f>+K196/J196</f>
        <v>0.6268694202579673</v>
      </c>
    </row>
    <row r="197" spans="1:12" ht="15">
      <c r="A197" s="405" t="s">
        <v>100</v>
      </c>
      <c r="B197" s="406" t="s">
        <v>187</v>
      </c>
      <c r="C197" s="407">
        <v>0</v>
      </c>
      <c r="D197" s="407">
        <f>SUM(D198:D202)</f>
        <v>0</v>
      </c>
      <c r="E197" s="407">
        <f>SUM(E198:E202)</f>
        <v>0</v>
      </c>
      <c r="F197" s="380"/>
      <c r="G197" s="405" t="s">
        <v>188</v>
      </c>
      <c r="H197" s="408" t="s">
        <v>131</v>
      </c>
      <c r="I197" s="383">
        <v>2918000</v>
      </c>
      <c r="J197" s="383">
        <v>38894950</v>
      </c>
      <c r="K197" s="383">
        <v>24152894</v>
      </c>
      <c r="L197" s="380">
        <f>+K197/J197</f>
        <v>0.620977633343146</v>
      </c>
    </row>
    <row r="198" spans="1:12" ht="15">
      <c r="A198" s="393"/>
      <c r="B198" s="389" t="s">
        <v>189</v>
      </c>
      <c r="C198" s="386"/>
      <c r="D198" s="386">
        <v>0</v>
      </c>
      <c r="E198" s="379"/>
      <c r="F198" s="380"/>
      <c r="G198" s="405" t="s">
        <v>190</v>
      </c>
      <c r="H198" s="409" t="s">
        <v>87</v>
      </c>
      <c r="I198" s="383">
        <v>635000</v>
      </c>
      <c r="J198" s="383">
        <v>0</v>
      </c>
      <c r="K198" s="383">
        <v>0</v>
      </c>
      <c r="L198" s="380"/>
    </row>
    <row r="199" spans="1:12" ht="28.5">
      <c r="A199" s="393"/>
      <c r="B199" s="389" t="s">
        <v>191</v>
      </c>
      <c r="C199" s="386"/>
      <c r="D199" s="386"/>
      <c r="E199" s="379"/>
      <c r="F199" s="380"/>
      <c r="G199" s="405" t="s">
        <v>192</v>
      </c>
      <c r="H199" s="409" t="s">
        <v>90</v>
      </c>
      <c r="I199" s="383">
        <v>0</v>
      </c>
      <c r="J199" s="383">
        <v>614157</v>
      </c>
      <c r="K199" s="383">
        <v>614157</v>
      </c>
      <c r="L199" s="380">
        <f>+K199/J199</f>
        <v>1</v>
      </c>
    </row>
    <row r="200" spans="1:12" ht="28.5">
      <c r="A200" s="393"/>
      <c r="B200" s="389" t="s">
        <v>193</v>
      </c>
      <c r="C200" s="386"/>
      <c r="D200" s="386"/>
      <c r="E200" s="386"/>
      <c r="F200" s="387"/>
      <c r="G200" s="410"/>
      <c r="H200" s="411"/>
      <c r="I200" s="386"/>
      <c r="J200" s="386"/>
      <c r="K200" s="386"/>
      <c r="L200" s="387"/>
    </row>
    <row r="201" spans="1:12" ht="28.5">
      <c r="A201" s="393"/>
      <c r="B201" s="389" t="s">
        <v>194</v>
      </c>
      <c r="C201" s="386"/>
      <c r="D201" s="386"/>
      <c r="E201" s="386"/>
      <c r="F201" s="387"/>
      <c r="G201" s="410"/>
      <c r="H201" s="411"/>
      <c r="I201" s="386"/>
      <c r="J201" s="386"/>
      <c r="K201" s="386"/>
      <c r="L201" s="387"/>
    </row>
    <row r="202" spans="1:12" ht="28.5">
      <c r="A202" s="393"/>
      <c r="B202" s="389" t="s">
        <v>195</v>
      </c>
      <c r="C202" s="386">
        <v>0</v>
      </c>
      <c r="D202" s="386"/>
      <c r="E202" s="386"/>
      <c r="F202" s="387"/>
      <c r="G202" s="410"/>
      <c r="H202" s="411"/>
      <c r="I202" s="386"/>
      <c r="J202" s="386"/>
      <c r="K202" s="386"/>
      <c r="L202" s="387"/>
    </row>
    <row r="203" spans="1:12" ht="15">
      <c r="A203" s="393" t="s">
        <v>188</v>
      </c>
      <c r="B203" s="388" t="s">
        <v>39</v>
      </c>
      <c r="C203" s="386">
        <v>0</v>
      </c>
      <c r="D203" s="386">
        <f>SUM(D204:D208)</f>
        <v>36000</v>
      </c>
      <c r="E203" s="386">
        <f>SUM(E204:E208)</f>
        <v>36000</v>
      </c>
      <c r="F203" s="387">
        <f>+E203/D203</f>
        <v>1</v>
      </c>
      <c r="G203" s="410"/>
      <c r="H203" s="411"/>
      <c r="I203" s="386"/>
      <c r="J203" s="386"/>
      <c r="K203" s="386"/>
      <c r="L203" s="387"/>
    </row>
    <row r="204" spans="1:12" ht="15">
      <c r="A204" s="393"/>
      <c r="B204" s="389" t="s">
        <v>196</v>
      </c>
      <c r="C204" s="386"/>
      <c r="D204" s="386"/>
      <c r="E204" s="386"/>
      <c r="F204" s="387"/>
      <c r="G204" s="410"/>
      <c r="H204" s="411"/>
      <c r="I204" s="386"/>
      <c r="J204" s="386"/>
      <c r="K204" s="386"/>
      <c r="L204" s="387"/>
    </row>
    <row r="205" spans="1:12" ht="15">
      <c r="A205" s="393"/>
      <c r="B205" s="389" t="s">
        <v>197</v>
      </c>
      <c r="C205" s="386"/>
      <c r="D205" s="386"/>
      <c r="E205" s="386"/>
      <c r="F205" s="387"/>
      <c r="G205" s="410"/>
      <c r="H205" s="411"/>
      <c r="I205" s="386"/>
      <c r="J205" s="386"/>
      <c r="K205" s="386"/>
      <c r="L205" s="387"/>
    </row>
    <row r="206" spans="1:12" ht="15">
      <c r="A206" s="393"/>
      <c r="B206" s="389" t="s">
        <v>198</v>
      </c>
      <c r="C206" s="386"/>
      <c r="D206" s="386">
        <v>36000</v>
      </c>
      <c r="E206" s="386">
        <v>36000</v>
      </c>
      <c r="F206" s="387">
        <f>+E206/D206</f>
        <v>1</v>
      </c>
      <c r="G206" s="410"/>
      <c r="H206" s="411"/>
      <c r="I206" s="386"/>
      <c r="J206" s="386"/>
      <c r="K206" s="386"/>
      <c r="L206" s="387"/>
    </row>
    <row r="207" spans="1:12" ht="15">
      <c r="A207" s="393"/>
      <c r="B207" s="389" t="s">
        <v>199</v>
      </c>
      <c r="C207" s="386"/>
      <c r="D207" s="386"/>
      <c r="E207" s="386"/>
      <c r="F207" s="387"/>
      <c r="G207" s="410"/>
      <c r="H207" s="411"/>
      <c r="I207" s="386"/>
      <c r="J207" s="386"/>
      <c r="K207" s="386"/>
      <c r="L207" s="387"/>
    </row>
    <row r="208" spans="1:12" ht="15">
      <c r="A208" s="393"/>
      <c r="B208" s="389" t="s">
        <v>200</v>
      </c>
      <c r="C208" s="386"/>
      <c r="D208" s="386"/>
      <c r="E208" s="386"/>
      <c r="F208" s="387"/>
      <c r="G208" s="410"/>
      <c r="H208" s="411"/>
      <c r="I208" s="386"/>
      <c r="J208" s="386"/>
      <c r="K208" s="386"/>
      <c r="L208" s="387"/>
    </row>
    <row r="209" spans="1:12" ht="15">
      <c r="A209" s="393" t="s">
        <v>190</v>
      </c>
      <c r="B209" s="394" t="s">
        <v>201</v>
      </c>
      <c r="C209" s="386">
        <f>SUM(C210:C212)</f>
        <v>100000</v>
      </c>
      <c r="D209" s="386">
        <f>SUM(D210:D212)</f>
        <v>100000</v>
      </c>
      <c r="E209" s="386">
        <f>SUM(E210:E212)</f>
        <v>20050</v>
      </c>
      <c r="F209" s="387">
        <f>+E209/D209</f>
        <v>0.2005</v>
      </c>
      <c r="G209" s="410"/>
      <c r="H209" s="410"/>
      <c r="I209" s="386"/>
      <c r="J209" s="386"/>
      <c r="K209" s="386"/>
      <c r="L209" s="387"/>
    </row>
    <row r="210" spans="1:12" ht="28.5">
      <c r="A210" s="410"/>
      <c r="B210" s="389" t="s">
        <v>202</v>
      </c>
      <c r="C210" s="386"/>
      <c r="D210" s="386"/>
      <c r="E210" s="386"/>
      <c r="F210" s="387"/>
      <c r="G210" s="410"/>
      <c r="H210" s="410"/>
      <c r="I210" s="386"/>
      <c r="J210" s="386"/>
      <c r="K210" s="386"/>
      <c r="L210" s="387"/>
    </row>
    <row r="211" spans="1:12" ht="28.5">
      <c r="A211" s="410"/>
      <c r="B211" s="389" t="s">
        <v>203</v>
      </c>
      <c r="C211" s="386">
        <v>100000</v>
      </c>
      <c r="D211" s="386">
        <v>100000</v>
      </c>
      <c r="E211" s="386">
        <v>20050</v>
      </c>
      <c r="F211" s="387">
        <f>+E211/D211</f>
        <v>0.2005</v>
      </c>
      <c r="G211" s="410"/>
      <c r="H211" s="410"/>
      <c r="I211" s="386"/>
      <c r="J211" s="386"/>
      <c r="K211" s="386"/>
      <c r="L211" s="387"/>
    </row>
    <row r="212" spans="1:12" ht="15" thickBot="1">
      <c r="A212" s="412"/>
      <c r="B212" s="399" t="s">
        <v>204</v>
      </c>
      <c r="C212" s="386"/>
      <c r="D212" s="386"/>
      <c r="E212" s="413"/>
      <c r="F212" s="414"/>
      <c r="G212" s="412"/>
      <c r="H212" s="415"/>
      <c r="I212" s="416"/>
      <c r="J212" s="416"/>
      <c r="K212" s="416"/>
      <c r="L212" s="414"/>
    </row>
    <row r="213" spans="1:12" ht="15.75" thickBot="1">
      <c r="A213" s="368"/>
      <c r="B213" s="372" t="s">
        <v>205</v>
      </c>
      <c r="C213" s="417">
        <f>SUM(C214:C220)</f>
        <v>517979735</v>
      </c>
      <c r="D213" s="417">
        <f>SUM(D214:D220)</f>
        <v>484866988</v>
      </c>
      <c r="E213" s="417">
        <f>SUM(E214:E220)</f>
        <v>407330774</v>
      </c>
      <c r="F213" s="418">
        <f>+E213/D213</f>
        <v>0.840087661319603</v>
      </c>
      <c r="G213" s="368"/>
      <c r="H213" s="419" t="s">
        <v>206</v>
      </c>
      <c r="I213" s="420">
        <v>0</v>
      </c>
      <c r="J213" s="420">
        <f>SUM(J214:J220)</f>
        <v>0</v>
      </c>
      <c r="K213" s="420">
        <f>SUM(K214:K220)</f>
        <v>0</v>
      </c>
      <c r="L213" s="418"/>
    </row>
    <row r="214" spans="1:14" ht="42.75">
      <c r="A214" s="381" t="s">
        <v>111</v>
      </c>
      <c r="B214" s="421" t="s">
        <v>128</v>
      </c>
      <c r="C214" s="386"/>
      <c r="D214" s="386"/>
      <c r="E214" s="422"/>
      <c r="F214" s="423"/>
      <c r="G214" s="424" t="s">
        <v>111</v>
      </c>
      <c r="H214" s="421" t="s">
        <v>134</v>
      </c>
      <c r="I214" s="383"/>
      <c r="J214" s="383"/>
      <c r="K214" s="383"/>
      <c r="L214" s="423"/>
      <c r="N214" s="441">
        <f>D213+D159</f>
        <v>597551904</v>
      </c>
    </row>
    <row r="215" spans="1:12" ht="15">
      <c r="A215" s="384" t="s">
        <v>112</v>
      </c>
      <c r="B215" s="425" t="s">
        <v>120</v>
      </c>
      <c r="C215" s="386"/>
      <c r="D215" s="386"/>
      <c r="E215" s="426"/>
      <c r="F215" s="427"/>
      <c r="G215" s="428" t="s">
        <v>112</v>
      </c>
      <c r="H215" s="425" t="s">
        <v>135</v>
      </c>
      <c r="I215" s="383"/>
      <c r="J215" s="383"/>
      <c r="K215" s="383"/>
      <c r="L215" s="427"/>
    </row>
    <row r="216" spans="1:12" ht="15">
      <c r="A216" s="384" t="s">
        <v>113</v>
      </c>
      <c r="B216" s="425" t="s">
        <v>121</v>
      </c>
      <c r="C216" s="386"/>
      <c r="D216" s="386"/>
      <c r="E216" s="426"/>
      <c r="F216" s="427"/>
      <c r="G216" s="428" t="s">
        <v>113</v>
      </c>
      <c r="H216" s="425" t="s">
        <v>136</v>
      </c>
      <c r="I216" s="383"/>
      <c r="J216" s="383"/>
      <c r="K216" s="383"/>
      <c r="L216" s="427"/>
    </row>
    <row r="217" spans="1:12" ht="15">
      <c r="A217" s="384" t="s">
        <v>114</v>
      </c>
      <c r="B217" s="425" t="s">
        <v>122</v>
      </c>
      <c r="C217" s="386"/>
      <c r="D217" s="386"/>
      <c r="E217" s="426"/>
      <c r="F217" s="427"/>
      <c r="G217" s="428" t="s">
        <v>114</v>
      </c>
      <c r="H217" s="425" t="s">
        <v>137</v>
      </c>
      <c r="I217" s="383"/>
      <c r="J217" s="383"/>
      <c r="K217" s="383"/>
      <c r="L217" s="427"/>
    </row>
    <row r="218" spans="1:12" ht="15">
      <c r="A218" s="384" t="s">
        <v>115</v>
      </c>
      <c r="B218" s="425" t="s">
        <v>123</v>
      </c>
      <c r="C218" s="386"/>
      <c r="D218" s="386"/>
      <c r="E218" s="426"/>
      <c r="F218" s="427"/>
      <c r="G218" s="428" t="s">
        <v>115</v>
      </c>
      <c r="H218" s="425" t="s">
        <v>138</v>
      </c>
      <c r="I218" s="383"/>
      <c r="J218" s="383"/>
      <c r="K218" s="383"/>
      <c r="L218" s="427"/>
    </row>
    <row r="219" spans="1:12" ht="28.5">
      <c r="A219" s="384" t="s">
        <v>116</v>
      </c>
      <c r="B219" s="425" t="s">
        <v>124</v>
      </c>
      <c r="C219" s="386">
        <f>302105155-3453000</f>
        <v>298652155</v>
      </c>
      <c r="D219" s="386">
        <f>276565734-39195307-177800</f>
        <v>237192627</v>
      </c>
      <c r="E219" s="426">
        <v>237192627</v>
      </c>
      <c r="F219" s="427">
        <f>+E219/D219</f>
        <v>1</v>
      </c>
      <c r="G219" s="428" t="s">
        <v>116</v>
      </c>
      <c r="H219" s="425" t="s">
        <v>218</v>
      </c>
      <c r="I219" s="383"/>
      <c r="J219" s="383"/>
      <c r="K219" s="383"/>
      <c r="L219" s="427"/>
    </row>
    <row r="220" spans="1:12" ht="28.5">
      <c r="A220" s="429" t="s">
        <v>117</v>
      </c>
      <c r="B220" s="430" t="s">
        <v>125</v>
      </c>
      <c r="C220" s="386">
        <v>219327580</v>
      </c>
      <c r="D220" s="386">
        <v>247674361</v>
      </c>
      <c r="E220" s="438">
        <v>170138147</v>
      </c>
      <c r="F220" s="431">
        <f>+E220/D220</f>
        <v>0.6869429129162061</v>
      </c>
      <c r="G220" s="432" t="s">
        <v>117</v>
      </c>
      <c r="H220" s="430" t="s">
        <v>139</v>
      </c>
      <c r="I220" s="383"/>
      <c r="J220" s="383"/>
      <c r="K220" s="383"/>
      <c r="L220" s="431"/>
    </row>
    <row r="221" spans="1:12" ht="15" thickBot="1">
      <c r="A221" s="412"/>
      <c r="B221" s="399"/>
      <c r="C221" s="386"/>
      <c r="D221" s="386"/>
      <c r="E221" s="413"/>
      <c r="F221" s="414"/>
      <c r="G221" s="412"/>
      <c r="H221" s="415"/>
      <c r="I221" s="416"/>
      <c r="J221" s="416"/>
      <c r="K221" s="416"/>
      <c r="L221" s="414"/>
    </row>
    <row r="222" spans="1:12" ht="15.75" thickBot="1">
      <c r="A222" s="368"/>
      <c r="B222" s="372" t="s">
        <v>207</v>
      </c>
      <c r="C222" s="417">
        <f>SUM(C223:C229)</f>
        <v>3453000</v>
      </c>
      <c r="D222" s="417">
        <f>SUM(D223:D229)</f>
        <v>39373107</v>
      </c>
      <c r="E222" s="417">
        <f>SUM(E223:E229)</f>
        <v>39373107</v>
      </c>
      <c r="F222" s="435">
        <f>+E222/D222</f>
        <v>1</v>
      </c>
      <c r="G222" s="436"/>
      <c r="H222" s="372" t="s">
        <v>208</v>
      </c>
      <c r="I222" s="417">
        <v>0</v>
      </c>
      <c r="J222" s="417">
        <f>SUM(J223:J229)</f>
        <v>0</v>
      </c>
      <c r="K222" s="417">
        <f>SUM(K223:K229)</f>
        <v>0</v>
      </c>
      <c r="L222" s="435"/>
    </row>
    <row r="223" spans="1:15" ht="42.75">
      <c r="A223" s="381" t="s">
        <v>111</v>
      </c>
      <c r="B223" s="421" t="s">
        <v>119</v>
      </c>
      <c r="C223" s="386"/>
      <c r="D223" s="386"/>
      <c r="E223" s="422"/>
      <c r="F223" s="423"/>
      <c r="G223" s="424" t="s">
        <v>111</v>
      </c>
      <c r="H223" s="421" t="s">
        <v>134</v>
      </c>
      <c r="I223" s="383"/>
      <c r="J223" s="383"/>
      <c r="K223" s="383"/>
      <c r="L223" s="423"/>
      <c r="O223" s="441"/>
    </row>
    <row r="224" spans="1:12" ht="15">
      <c r="A224" s="384" t="s">
        <v>112</v>
      </c>
      <c r="B224" s="425" t="s">
        <v>120</v>
      </c>
      <c r="C224" s="386"/>
      <c r="D224" s="386"/>
      <c r="E224" s="426"/>
      <c r="F224" s="427"/>
      <c r="G224" s="428" t="s">
        <v>112</v>
      </c>
      <c r="H224" s="425" t="s">
        <v>135</v>
      </c>
      <c r="I224" s="383"/>
      <c r="J224" s="383"/>
      <c r="K224" s="383"/>
      <c r="L224" s="427"/>
    </row>
    <row r="225" spans="1:12" ht="15">
      <c r="A225" s="384" t="s">
        <v>113</v>
      </c>
      <c r="B225" s="425" t="s">
        <v>121</v>
      </c>
      <c r="C225" s="386"/>
      <c r="D225" s="386"/>
      <c r="E225" s="426"/>
      <c r="F225" s="427"/>
      <c r="G225" s="428" t="s">
        <v>113</v>
      </c>
      <c r="H225" s="425" t="s">
        <v>136</v>
      </c>
      <c r="I225" s="383"/>
      <c r="J225" s="383"/>
      <c r="K225" s="383"/>
      <c r="L225" s="427"/>
    </row>
    <row r="226" spans="1:12" ht="15">
      <c r="A226" s="384" t="s">
        <v>114</v>
      </c>
      <c r="B226" s="425" t="s">
        <v>122</v>
      </c>
      <c r="C226" s="386"/>
      <c r="D226" s="386"/>
      <c r="E226" s="426"/>
      <c r="F226" s="427"/>
      <c r="G226" s="428" t="s">
        <v>114</v>
      </c>
      <c r="H226" s="425" t="s">
        <v>137</v>
      </c>
      <c r="I226" s="383"/>
      <c r="J226" s="383"/>
      <c r="K226" s="383"/>
      <c r="L226" s="427"/>
    </row>
    <row r="227" spans="1:12" ht="15">
      <c r="A227" s="384" t="s">
        <v>115</v>
      </c>
      <c r="B227" s="425" t="s">
        <v>123</v>
      </c>
      <c r="C227" s="386"/>
      <c r="D227" s="386"/>
      <c r="E227" s="426"/>
      <c r="F227" s="427"/>
      <c r="G227" s="428" t="s">
        <v>115</v>
      </c>
      <c r="H227" s="425" t="s">
        <v>138</v>
      </c>
      <c r="I227" s="383"/>
      <c r="J227" s="383"/>
      <c r="K227" s="383"/>
      <c r="L227" s="427"/>
    </row>
    <row r="228" spans="1:12" ht="28.5">
      <c r="A228" s="384" t="s">
        <v>116</v>
      </c>
      <c r="B228" s="425" t="s">
        <v>124</v>
      </c>
      <c r="C228" s="386">
        <v>3453000</v>
      </c>
      <c r="D228" s="386">
        <f>39195307+177800</f>
        <v>39373107</v>
      </c>
      <c r="E228" s="426">
        <f>39195307+177800</f>
        <v>39373107</v>
      </c>
      <c r="F228" s="427">
        <f>+E228/D228</f>
        <v>1</v>
      </c>
      <c r="G228" s="428" t="s">
        <v>116</v>
      </c>
      <c r="H228" s="425" t="s">
        <v>218</v>
      </c>
      <c r="I228" s="383"/>
      <c r="J228" s="383"/>
      <c r="K228" s="383"/>
      <c r="L228" s="427"/>
    </row>
    <row r="229" spans="1:12" ht="29.25" thickBot="1">
      <c r="A229" s="429" t="s">
        <v>117</v>
      </c>
      <c r="B229" s="437" t="s">
        <v>125</v>
      </c>
      <c r="C229" s="386">
        <v>0</v>
      </c>
      <c r="D229" s="386">
        <v>0</v>
      </c>
      <c r="E229" s="438">
        <v>0</v>
      </c>
      <c r="F229" s="431"/>
      <c r="G229" s="432" t="s">
        <v>117</v>
      </c>
      <c r="H229" s="439" t="s">
        <v>139</v>
      </c>
      <c r="I229" s="383"/>
      <c r="J229" s="383"/>
      <c r="K229" s="383"/>
      <c r="L229" s="431"/>
    </row>
    <row r="230" spans="1:14" ht="15.75" thickBot="1">
      <c r="A230" s="440"/>
      <c r="B230" s="368" t="s">
        <v>148</v>
      </c>
      <c r="C230" s="374">
        <f>+C159+C196+C213+C222</f>
        <v>539926500</v>
      </c>
      <c r="D230" s="374">
        <f>+D159+D196+D213+D222</f>
        <v>637061011</v>
      </c>
      <c r="E230" s="374">
        <f>+E159+E196+E213+E222</f>
        <v>512986661</v>
      </c>
      <c r="F230" s="375">
        <f>+E230/D230</f>
        <v>0.8052394545300465</v>
      </c>
      <c r="G230" s="440"/>
      <c r="H230" s="368" t="s">
        <v>149</v>
      </c>
      <c r="I230" s="374">
        <f>+I159+I196+I213+I222</f>
        <v>539926500</v>
      </c>
      <c r="J230" s="374">
        <f>+J159+J196+J213+J222</f>
        <v>637061011</v>
      </c>
      <c r="K230" s="374">
        <f>+K159+K196+K213+K222</f>
        <v>300408301</v>
      </c>
      <c r="L230" s="375">
        <f>+K230/J230</f>
        <v>0.4715534239467058</v>
      </c>
      <c r="M230" s="441">
        <f>C230-I230</f>
        <v>0</v>
      </c>
      <c r="N230" s="441">
        <f>D230-J230</f>
        <v>0</v>
      </c>
    </row>
    <row r="232" spans="4:5" ht="14.25">
      <c r="D232" s="441"/>
      <c r="E232" s="441"/>
    </row>
    <row r="234" spans="4:5" ht="14.25">
      <c r="D234" s="441"/>
      <c r="E234" s="441"/>
    </row>
  </sheetData>
  <sheetProtection/>
  <mergeCells count="3">
    <mergeCell ref="A2:J2"/>
    <mergeCell ref="A79:J79"/>
    <mergeCell ref="A156:J156"/>
  </mergeCells>
  <printOptions horizontalCentered="1"/>
  <pageMargins left="0.2362204724409449" right="0.2362204724409449" top="0.5511811023622047" bottom="0.5511811023622047" header="0.31496062992125984" footer="0.31496062992125984"/>
  <pageSetup fitToHeight="6" fitToWidth="1" horizontalDpi="600" verticalDpi="600" orientation="landscape" paperSize="9" scale="52" r:id="rId1"/>
  <rowBreaks count="2" manualBreakCount="2">
    <brk id="77" max="11" man="1"/>
    <brk id="15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6"/>
  <sheetViews>
    <sheetView view="pageBreakPreview" zoomScale="60" zoomScaleNormal="89" zoomScalePageLayoutView="0" workbookViewId="0" topLeftCell="A124">
      <selection activeCell="C143" sqref="C143:F146"/>
    </sheetView>
  </sheetViews>
  <sheetFormatPr defaultColWidth="9.140625" defaultRowHeight="19.5" customHeight="1"/>
  <cols>
    <col min="1" max="1" width="6.7109375" style="361" customWidth="1"/>
    <col min="2" max="2" width="75.7109375" style="361" customWidth="1"/>
    <col min="3" max="5" width="16.57421875" style="361" customWidth="1"/>
    <col min="6" max="6" width="16.57421875" style="362" customWidth="1"/>
    <col min="7" max="7" width="6.7109375" style="361" customWidth="1"/>
    <col min="8" max="8" width="75.7109375" style="361" customWidth="1"/>
    <col min="9" max="9" width="17.00390625" style="361" customWidth="1"/>
    <col min="10" max="10" width="16.57421875" style="466" customWidth="1"/>
    <col min="11" max="11" width="16.57421875" style="361" customWidth="1"/>
    <col min="12" max="12" width="16.57421875" style="362" customWidth="1"/>
    <col min="13" max="13" width="16.140625" style="361" customWidth="1"/>
    <col min="14" max="14" width="19.00390625" style="361" customWidth="1"/>
    <col min="15" max="15" width="15.421875" style="361" customWidth="1"/>
    <col min="16" max="16384" width="9.140625" style="361" customWidth="1"/>
  </cols>
  <sheetData>
    <row r="1" spans="6:12" s="462" customFormat="1" ht="19.5" customHeight="1">
      <c r="F1" s="463"/>
      <c r="H1" s="464"/>
      <c r="I1" s="464"/>
      <c r="J1" s="464" t="s">
        <v>909</v>
      </c>
      <c r="K1" s="464"/>
      <c r="L1" s="464"/>
    </row>
    <row r="2" spans="1:12" ht="19.5" customHeight="1">
      <c r="A2" s="712" t="s">
        <v>874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465"/>
    </row>
    <row r="3" ht="19.5" customHeight="1" thickBot="1">
      <c r="L3" s="467" t="s">
        <v>215</v>
      </c>
    </row>
    <row r="4" spans="1:12" ht="30.75" thickBot="1">
      <c r="A4" s="367"/>
      <c r="B4" s="368" t="s">
        <v>104</v>
      </c>
      <c r="C4" s="369" t="s">
        <v>305</v>
      </c>
      <c r="D4" s="369" t="s">
        <v>843</v>
      </c>
      <c r="E4" s="369" t="s">
        <v>303</v>
      </c>
      <c r="F4" s="370" t="s">
        <v>304</v>
      </c>
      <c r="G4" s="371"/>
      <c r="H4" s="368" t="s">
        <v>105</v>
      </c>
      <c r="I4" s="369" t="str">
        <f>C4</f>
        <v>Eredeti előirányzat </v>
      </c>
      <c r="J4" s="369" t="str">
        <f>D4</f>
        <v>Módosított előirányzta V.</v>
      </c>
      <c r="K4" s="369" t="s">
        <v>303</v>
      </c>
      <c r="L4" s="370" t="s">
        <v>304</v>
      </c>
    </row>
    <row r="5" spans="1:12" ht="19.5" customHeight="1" thickBot="1">
      <c r="A5" s="367"/>
      <c r="B5" s="372" t="s">
        <v>155</v>
      </c>
      <c r="C5" s="373">
        <f>+C6+C19+C27+C38</f>
        <v>477308860</v>
      </c>
      <c r="D5" s="374">
        <f>+D6+D19+D27+D38</f>
        <v>676718207</v>
      </c>
      <c r="E5" s="374">
        <f>+E6+E19+E27+E38</f>
        <v>554971587</v>
      </c>
      <c r="F5" s="375">
        <f>+E5/D5</f>
        <v>0.8200925898835761</v>
      </c>
      <c r="G5" s="371"/>
      <c r="H5" s="372" t="s">
        <v>156</v>
      </c>
      <c r="I5" s="373">
        <f>SUM(I6:I10)</f>
        <v>968387008</v>
      </c>
      <c r="J5" s="373">
        <f>SUM(J6:J10)</f>
        <v>1072004637</v>
      </c>
      <c r="K5" s="373">
        <f>SUM(K6:K10)</f>
        <v>540585954</v>
      </c>
      <c r="L5" s="375">
        <f>+K5/J5</f>
        <v>0.5042757608892694</v>
      </c>
    </row>
    <row r="6" spans="1:12" ht="19.5" customHeight="1">
      <c r="A6" s="377" t="s">
        <v>23</v>
      </c>
      <c r="B6" s="378" t="s">
        <v>157</v>
      </c>
      <c r="C6" s="379">
        <f>+C14+C15+C16+C17+C18+C7</f>
        <v>359353950</v>
      </c>
      <c r="D6" s="379">
        <f>+D14+D15+D16+D17+D18+D7</f>
        <v>467784540</v>
      </c>
      <c r="E6" s="379">
        <f>+E14+E15+E16+E17+E18+E7</f>
        <v>391146765</v>
      </c>
      <c r="F6" s="380">
        <f>+E6/D6</f>
        <v>0.8361686450774966</v>
      </c>
      <c r="G6" s="381" t="s">
        <v>23</v>
      </c>
      <c r="H6" s="382" t="s">
        <v>80</v>
      </c>
      <c r="I6" s="383">
        <f aca="true" t="shared" si="0" ref="I6:J10">+I59+I111</f>
        <v>404411189</v>
      </c>
      <c r="J6" s="383">
        <f t="shared" si="0"/>
        <v>473212467</v>
      </c>
      <c r="K6" s="383">
        <f>+K59+K111</f>
        <v>271193581</v>
      </c>
      <c r="L6" s="380">
        <f>+K6/J6</f>
        <v>0.5730905246839154</v>
      </c>
    </row>
    <row r="7" spans="1:12" ht="19.5" customHeight="1">
      <c r="A7" s="384" t="s">
        <v>111</v>
      </c>
      <c r="B7" s="385" t="s">
        <v>158</v>
      </c>
      <c r="C7" s="386">
        <f>SUM(C8:C13)</f>
        <v>295492000</v>
      </c>
      <c r="D7" s="386">
        <f>SUM(D8:D13)</f>
        <v>295455928</v>
      </c>
      <c r="E7" s="386">
        <f>SUM(E8:E13)</f>
        <v>295455928</v>
      </c>
      <c r="F7" s="387">
        <f>+E7/D7</f>
        <v>1</v>
      </c>
      <c r="G7" s="384" t="s">
        <v>45</v>
      </c>
      <c r="H7" s="388" t="s">
        <v>147</v>
      </c>
      <c r="I7" s="383">
        <f t="shared" si="0"/>
        <v>84308774</v>
      </c>
      <c r="J7" s="383">
        <f t="shared" si="0"/>
        <v>91186080</v>
      </c>
      <c r="K7" s="383">
        <f>+K60+K112</f>
        <v>44814078</v>
      </c>
      <c r="L7" s="387">
        <f>+K7/J7</f>
        <v>0.4914574461365156</v>
      </c>
    </row>
    <row r="8" spans="1:12" ht="19.5" customHeight="1">
      <c r="A8" s="384"/>
      <c r="B8" s="389" t="s">
        <v>159</v>
      </c>
      <c r="C8" s="386">
        <f>+C61+C113</f>
        <v>280500000</v>
      </c>
      <c r="D8" s="386">
        <f>+D61+D113</f>
        <v>280635928</v>
      </c>
      <c r="E8" s="386">
        <f>+E61+E113</f>
        <v>280635928</v>
      </c>
      <c r="F8" s="387">
        <f>+E8/D8</f>
        <v>1</v>
      </c>
      <c r="G8" s="384" t="s">
        <v>56</v>
      </c>
      <c r="H8" s="388" t="s">
        <v>83</v>
      </c>
      <c r="I8" s="383">
        <f t="shared" si="0"/>
        <v>386290189</v>
      </c>
      <c r="J8" s="383">
        <f t="shared" si="0"/>
        <v>396778078</v>
      </c>
      <c r="K8" s="383">
        <f>+K61+K113</f>
        <v>174361309</v>
      </c>
      <c r="L8" s="387">
        <f>+K8/J8</f>
        <v>0.4394428993630036</v>
      </c>
    </row>
    <row r="9" spans="1:12" ht="19.5" customHeight="1">
      <c r="A9" s="384"/>
      <c r="B9" s="389" t="s">
        <v>160</v>
      </c>
      <c r="C9" s="386"/>
      <c r="D9" s="386"/>
      <c r="E9" s="386"/>
      <c r="F9" s="387"/>
      <c r="G9" s="384" t="s">
        <v>64</v>
      </c>
      <c r="H9" s="388" t="s">
        <v>84</v>
      </c>
      <c r="I9" s="383"/>
      <c r="J9" s="383"/>
      <c r="K9" s="383"/>
      <c r="L9" s="387"/>
    </row>
    <row r="10" spans="1:12" ht="28.5">
      <c r="A10" s="384"/>
      <c r="B10" s="389" t="s">
        <v>161</v>
      </c>
      <c r="C10" s="386"/>
      <c r="D10" s="386"/>
      <c r="E10" s="386"/>
      <c r="F10" s="387"/>
      <c r="G10" s="384" t="s">
        <v>100</v>
      </c>
      <c r="H10" s="388" t="s">
        <v>217</v>
      </c>
      <c r="I10" s="383">
        <f t="shared" si="0"/>
        <v>93376856</v>
      </c>
      <c r="J10" s="383">
        <f t="shared" si="0"/>
        <v>110828012</v>
      </c>
      <c r="K10" s="383">
        <f>+K63+K115</f>
        <v>50216986</v>
      </c>
      <c r="L10" s="387">
        <f>+K10/J10</f>
        <v>0.4531073425732837</v>
      </c>
    </row>
    <row r="11" spans="1:12" ht="19.5" customHeight="1">
      <c r="A11" s="384"/>
      <c r="B11" s="389" t="s">
        <v>162</v>
      </c>
      <c r="C11" s="386"/>
      <c r="D11" s="386"/>
      <c r="E11" s="386"/>
      <c r="F11" s="387"/>
      <c r="G11" s="384"/>
      <c r="H11" s="390" t="s">
        <v>212</v>
      </c>
      <c r="I11" s="383"/>
      <c r="J11" s="383"/>
      <c r="K11" s="383"/>
      <c r="L11" s="387"/>
    </row>
    <row r="12" spans="1:12" ht="19.5" customHeight="1">
      <c r="A12" s="384"/>
      <c r="B12" s="389" t="s">
        <v>163</v>
      </c>
      <c r="C12" s="386"/>
      <c r="D12" s="386"/>
      <c r="E12" s="386"/>
      <c r="F12" s="387"/>
      <c r="G12" s="384"/>
      <c r="H12" s="384"/>
      <c r="I12" s="383"/>
      <c r="J12" s="383"/>
      <c r="K12" s="383"/>
      <c r="L12" s="387"/>
    </row>
    <row r="13" spans="1:12" ht="19.5" customHeight="1">
      <c r="A13" s="384"/>
      <c r="B13" s="389" t="s">
        <v>164</v>
      </c>
      <c r="C13" s="386">
        <f>+C66+C118</f>
        <v>14992000</v>
      </c>
      <c r="D13" s="386">
        <f>+D66+D118</f>
        <v>14820000</v>
      </c>
      <c r="E13" s="386">
        <f>+E66+E118</f>
        <v>14820000</v>
      </c>
      <c r="F13" s="387">
        <f>+E13/D13</f>
        <v>1</v>
      </c>
      <c r="G13" s="384"/>
      <c r="H13" s="384"/>
      <c r="I13" s="391"/>
      <c r="J13" s="391"/>
      <c r="K13" s="391"/>
      <c r="L13" s="387"/>
    </row>
    <row r="14" spans="1:12" ht="19.5" customHeight="1">
      <c r="A14" s="384" t="s">
        <v>112</v>
      </c>
      <c r="B14" s="392" t="s">
        <v>165</v>
      </c>
      <c r="C14" s="386"/>
      <c r="D14" s="386"/>
      <c r="E14" s="386"/>
      <c r="F14" s="387"/>
      <c r="G14" s="384"/>
      <c r="H14" s="384"/>
      <c r="I14" s="391"/>
      <c r="J14" s="391"/>
      <c r="K14" s="391"/>
      <c r="L14" s="387"/>
    </row>
    <row r="15" spans="1:12" ht="30">
      <c r="A15" s="384" t="s">
        <v>113</v>
      </c>
      <c r="B15" s="392" t="s">
        <v>166</v>
      </c>
      <c r="C15" s="386"/>
      <c r="D15" s="386"/>
      <c r="E15" s="386"/>
      <c r="F15" s="387"/>
      <c r="G15" s="384"/>
      <c r="H15" s="384"/>
      <c r="I15" s="391"/>
      <c r="J15" s="391"/>
      <c r="K15" s="391"/>
      <c r="L15" s="387"/>
    </row>
    <row r="16" spans="1:12" ht="30">
      <c r="A16" s="384" t="s">
        <v>114</v>
      </c>
      <c r="B16" s="392" t="s">
        <v>167</v>
      </c>
      <c r="C16" s="386"/>
      <c r="D16" s="386"/>
      <c r="E16" s="386"/>
      <c r="F16" s="387"/>
      <c r="G16" s="384"/>
      <c r="H16" s="384"/>
      <c r="I16" s="391"/>
      <c r="J16" s="391"/>
      <c r="K16" s="391"/>
      <c r="L16" s="387"/>
    </row>
    <row r="17" spans="1:12" ht="30">
      <c r="A17" s="384" t="s">
        <v>115</v>
      </c>
      <c r="B17" s="392" t="s">
        <v>168</v>
      </c>
      <c r="C17" s="386"/>
      <c r="D17" s="386"/>
      <c r="E17" s="386"/>
      <c r="F17" s="387"/>
      <c r="G17" s="384"/>
      <c r="H17" s="384"/>
      <c r="I17" s="391"/>
      <c r="J17" s="391"/>
      <c r="K17" s="391"/>
      <c r="L17" s="387"/>
    </row>
    <row r="18" spans="1:12" ht="15">
      <c r="A18" s="384" t="s">
        <v>116</v>
      </c>
      <c r="B18" s="392" t="s">
        <v>169</v>
      </c>
      <c r="C18" s="386">
        <f>+C71+C123</f>
        <v>63861950</v>
      </c>
      <c r="D18" s="386">
        <f>+D71+D123</f>
        <v>172328612</v>
      </c>
      <c r="E18" s="386">
        <f>+E71+E123</f>
        <v>95690837</v>
      </c>
      <c r="F18" s="387">
        <f>+E18/D18</f>
        <v>0.5552811914947705</v>
      </c>
      <c r="G18" s="384"/>
      <c r="H18" s="384"/>
      <c r="I18" s="391"/>
      <c r="J18" s="391"/>
      <c r="K18" s="391"/>
      <c r="L18" s="387"/>
    </row>
    <row r="19" spans="1:12" ht="19.5" customHeight="1">
      <c r="A19" s="393" t="s">
        <v>45</v>
      </c>
      <c r="B19" s="394" t="s">
        <v>9</v>
      </c>
      <c r="C19" s="395"/>
      <c r="D19" s="395"/>
      <c r="E19" s="395"/>
      <c r="F19" s="396"/>
      <c r="G19" s="397"/>
      <c r="H19" s="384"/>
      <c r="I19" s="391"/>
      <c r="J19" s="391"/>
      <c r="K19" s="391"/>
      <c r="L19" s="396"/>
    </row>
    <row r="20" spans="1:12" ht="19.5" customHeight="1">
      <c r="A20" s="393"/>
      <c r="B20" s="397" t="s">
        <v>140</v>
      </c>
      <c r="C20" s="386"/>
      <c r="D20" s="386"/>
      <c r="E20" s="386"/>
      <c r="F20" s="387"/>
      <c r="G20" s="397"/>
      <c r="H20" s="384"/>
      <c r="I20" s="391"/>
      <c r="J20" s="391"/>
      <c r="K20" s="391"/>
      <c r="L20" s="387"/>
    </row>
    <row r="21" spans="1:12" ht="19.5" customHeight="1">
      <c r="A21" s="393"/>
      <c r="B21" s="397" t="s">
        <v>141</v>
      </c>
      <c r="C21" s="386"/>
      <c r="D21" s="386"/>
      <c r="E21" s="386"/>
      <c r="F21" s="387"/>
      <c r="G21" s="397"/>
      <c r="H21" s="384"/>
      <c r="I21" s="391"/>
      <c r="J21" s="391"/>
      <c r="K21" s="391"/>
      <c r="L21" s="387"/>
    </row>
    <row r="22" spans="1:12" ht="19.5" customHeight="1">
      <c r="A22" s="393"/>
      <c r="B22" s="397" t="s">
        <v>142</v>
      </c>
      <c r="C22" s="386"/>
      <c r="D22" s="386"/>
      <c r="E22" s="386"/>
      <c r="F22" s="387"/>
      <c r="G22" s="397"/>
      <c r="H22" s="384"/>
      <c r="I22" s="391"/>
      <c r="J22" s="391"/>
      <c r="K22" s="391"/>
      <c r="L22" s="387"/>
    </row>
    <row r="23" spans="1:12" ht="19.5" customHeight="1">
      <c r="A23" s="393"/>
      <c r="B23" s="397" t="s">
        <v>143</v>
      </c>
      <c r="C23" s="386"/>
      <c r="D23" s="386"/>
      <c r="E23" s="386"/>
      <c r="F23" s="387"/>
      <c r="G23" s="397"/>
      <c r="H23" s="384"/>
      <c r="I23" s="391"/>
      <c r="J23" s="391"/>
      <c r="K23" s="391"/>
      <c r="L23" s="387"/>
    </row>
    <row r="24" spans="1:12" ht="19.5" customHeight="1">
      <c r="A24" s="393"/>
      <c r="B24" s="397" t="s">
        <v>144</v>
      </c>
      <c r="C24" s="386"/>
      <c r="D24" s="386"/>
      <c r="E24" s="386"/>
      <c r="F24" s="387"/>
      <c r="G24" s="397"/>
      <c r="H24" s="384"/>
      <c r="I24" s="391"/>
      <c r="J24" s="391"/>
      <c r="K24" s="391"/>
      <c r="L24" s="387"/>
    </row>
    <row r="25" spans="1:12" ht="19.5" customHeight="1">
      <c r="A25" s="393"/>
      <c r="B25" s="397" t="s">
        <v>145</v>
      </c>
      <c r="C25" s="386"/>
      <c r="D25" s="386"/>
      <c r="E25" s="386"/>
      <c r="F25" s="387"/>
      <c r="G25" s="397"/>
      <c r="H25" s="384"/>
      <c r="I25" s="391"/>
      <c r="J25" s="391"/>
      <c r="K25" s="391"/>
      <c r="L25" s="387"/>
    </row>
    <row r="26" spans="1:12" ht="19.5" customHeight="1">
      <c r="A26" s="393"/>
      <c r="B26" s="397" t="s">
        <v>146</v>
      </c>
      <c r="C26" s="386"/>
      <c r="D26" s="386"/>
      <c r="E26" s="386"/>
      <c r="F26" s="387"/>
      <c r="G26" s="397"/>
      <c r="H26" s="384"/>
      <c r="I26" s="391"/>
      <c r="J26" s="391"/>
      <c r="K26" s="391"/>
      <c r="L26" s="387"/>
    </row>
    <row r="27" spans="1:12" ht="19.5" customHeight="1">
      <c r="A27" s="393" t="s">
        <v>56</v>
      </c>
      <c r="B27" s="394" t="s">
        <v>170</v>
      </c>
      <c r="C27" s="386">
        <f>SUM(C28:C37)</f>
        <v>12332860</v>
      </c>
      <c r="D27" s="386">
        <f>SUM(D28:D37)</f>
        <v>13987668</v>
      </c>
      <c r="E27" s="386">
        <f>SUM(E28:E37)</f>
        <v>10388455</v>
      </c>
      <c r="F27" s="387">
        <f>+E27/D27</f>
        <v>0.7426867008853799</v>
      </c>
      <c r="G27" s="397"/>
      <c r="H27" s="384"/>
      <c r="I27" s="391"/>
      <c r="J27" s="391"/>
      <c r="K27" s="391"/>
      <c r="L27" s="387"/>
    </row>
    <row r="28" spans="1:12" ht="19.5" customHeight="1">
      <c r="A28" s="393"/>
      <c r="B28" s="389" t="s">
        <v>171</v>
      </c>
      <c r="C28" s="386">
        <f aca="true" t="shared" si="1" ref="C28:D37">+C81+C133</f>
        <v>100000</v>
      </c>
      <c r="D28" s="386">
        <f t="shared" si="1"/>
        <v>100000</v>
      </c>
      <c r="E28" s="386">
        <f aca="true" t="shared" si="2" ref="E28:E37">+E81+E133</f>
        <v>0</v>
      </c>
      <c r="F28" s="387">
        <f>+E28/D28</f>
        <v>0</v>
      </c>
      <c r="G28" s="397"/>
      <c r="H28" s="384"/>
      <c r="I28" s="391"/>
      <c r="J28" s="391"/>
      <c r="K28" s="391"/>
      <c r="L28" s="387"/>
    </row>
    <row r="29" spans="1:12" ht="19.5" customHeight="1">
      <c r="A29" s="393"/>
      <c r="B29" s="389" t="s">
        <v>172</v>
      </c>
      <c r="C29" s="386">
        <f t="shared" si="1"/>
        <v>4000000</v>
      </c>
      <c r="D29" s="386">
        <f t="shared" si="1"/>
        <v>4177800</v>
      </c>
      <c r="E29" s="386">
        <f t="shared" si="2"/>
        <v>707800</v>
      </c>
      <c r="F29" s="387">
        <f>+E29/D29</f>
        <v>0.16941931159940637</v>
      </c>
      <c r="G29" s="397"/>
      <c r="H29" s="384"/>
      <c r="I29" s="391"/>
      <c r="J29" s="391"/>
      <c r="K29" s="391"/>
      <c r="L29" s="387"/>
    </row>
    <row r="30" spans="1:12" ht="19.5" customHeight="1">
      <c r="A30" s="393"/>
      <c r="B30" s="389" t="s">
        <v>173</v>
      </c>
      <c r="C30" s="386">
        <f t="shared" si="1"/>
        <v>8232860</v>
      </c>
      <c r="D30" s="386">
        <f t="shared" si="1"/>
        <v>8506302</v>
      </c>
      <c r="E30" s="386">
        <f t="shared" si="2"/>
        <v>8477089</v>
      </c>
      <c r="F30" s="387">
        <f>+E30/D30</f>
        <v>0.9965657226841934</v>
      </c>
      <c r="G30" s="397"/>
      <c r="H30" s="384"/>
      <c r="I30" s="391"/>
      <c r="J30" s="391"/>
      <c r="K30" s="391"/>
      <c r="L30" s="387"/>
    </row>
    <row r="31" spans="1:12" ht="19.5" customHeight="1">
      <c r="A31" s="393"/>
      <c r="B31" s="389" t="s">
        <v>174</v>
      </c>
      <c r="C31" s="386"/>
      <c r="D31" s="386"/>
      <c r="E31" s="386"/>
      <c r="F31" s="387"/>
      <c r="G31" s="397"/>
      <c r="H31" s="384"/>
      <c r="I31" s="391"/>
      <c r="J31" s="391"/>
      <c r="K31" s="391"/>
      <c r="L31" s="387"/>
    </row>
    <row r="32" spans="1:12" ht="19.5" customHeight="1">
      <c r="A32" s="393"/>
      <c r="B32" s="389" t="s">
        <v>175</v>
      </c>
      <c r="C32" s="386"/>
      <c r="D32" s="386"/>
      <c r="E32" s="386"/>
      <c r="F32" s="387"/>
      <c r="G32" s="397"/>
      <c r="H32" s="384"/>
      <c r="I32" s="391"/>
      <c r="J32" s="391"/>
      <c r="K32" s="391"/>
      <c r="L32" s="387"/>
    </row>
    <row r="33" spans="1:12" ht="19.5" customHeight="1">
      <c r="A33" s="393"/>
      <c r="B33" s="389" t="s">
        <v>176</v>
      </c>
      <c r="C33" s="386">
        <f t="shared" si="1"/>
        <v>0</v>
      </c>
      <c r="D33" s="386">
        <f t="shared" si="1"/>
        <v>0</v>
      </c>
      <c r="E33" s="386">
        <f t="shared" si="2"/>
        <v>0</v>
      </c>
      <c r="F33" s="387"/>
      <c r="G33" s="397"/>
      <c r="H33" s="384"/>
      <c r="I33" s="391"/>
      <c r="J33" s="391"/>
      <c r="K33" s="391"/>
      <c r="L33" s="387"/>
    </row>
    <row r="34" spans="1:12" ht="19.5" customHeight="1">
      <c r="A34" s="393"/>
      <c r="B34" s="389" t="s">
        <v>177</v>
      </c>
      <c r="C34" s="386"/>
      <c r="D34" s="386"/>
      <c r="E34" s="386"/>
      <c r="F34" s="387"/>
      <c r="G34" s="397"/>
      <c r="H34" s="384"/>
      <c r="I34" s="391"/>
      <c r="J34" s="391"/>
      <c r="K34" s="391"/>
      <c r="L34" s="387"/>
    </row>
    <row r="35" spans="1:12" ht="19.5" customHeight="1">
      <c r="A35" s="393"/>
      <c r="B35" s="389" t="s">
        <v>178</v>
      </c>
      <c r="C35" s="386"/>
      <c r="D35" s="386"/>
      <c r="E35" s="386"/>
      <c r="F35" s="387"/>
      <c r="G35" s="397"/>
      <c r="H35" s="384"/>
      <c r="I35" s="391"/>
      <c r="J35" s="391"/>
      <c r="K35" s="391"/>
      <c r="L35" s="387"/>
    </row>
    <row r="36" spans="1:12" ht="19.5" customHeight="1">
      <c r="A36" s="393"/>
      <c r="B36" s="389" t="s">
        <v>179</v>
      </c>
      <c r="C36" s="386">
        <f t="shared" si="1"/>
        <v>0</v>
      </c>
      <c r="D36" s="386">
        <f t="shared" si="1"/>
        <v>1000061</v>
      </c>
      <c r="E36" s="386">
        <f t="shared" si="2"/>
        <v>1000061</v>
      </c>
      <c r="F36" s="387">
        <f>+E36/D36</f>
        <v>1</v>
      </c>
      <c r="G36" s="397"/>
      <c r="H36" s="384"/>
      <c r="I36" s="391"/>
      <c r="J36" s="391"/>
      <c r="K36" s="391"/>
      <c r="L36" s="387"/>
    </row>
    <row r="37" spans="1:12" ht="19.5" customHeight="1">
      <c r="A37" s="393"/>
      <c r="B37" s="389" t="s">
        <v>180</v>
      </c>
      <c r="C37" s="386">
        <f t="shared" si="1"/>
        <v>0</v>
      </c>
      <c r="D37" s="386">
        <f t="shared" si="1"/>
        <v>203505</v>
      </c>
      <c r="E37" s="386">
        <f t="shared" si="2"/>
        <v>203505</v>
      </c>
      <c r="F37" s="387">
        <f>+E37/D37</f>
        <v>1</v>
      </c>
      <c r="G37" s="397"/>
      <c r="H37" s="384"/>
      <c r="I37" s="391"/>
      <c r="J37" s="391"/>
      <c r="K37" s="391"/>
      <c r="L37" s="387"/>
    </row>
    <row r="38" spans="1:12" ht="19.5" customHeight="1">
      <c r="A38" s="393" t="s">
        <v>64</v>
      </c>
      <c r="B38" s="394" t="s">
        <v>181</v>
      </c>
      <c r="C38" s="386">
        <f>SUM(C39:C41)</f>
        <v>105622050</v>
      </c>
      <c r="D38" s="386">
        <f>SUM(D39:D41)</f>
        <v>194945999</v>
      </c>
      <c r="E38" s="386">
        <f>SUM(E39:E41)</f>
        <v>153436367</v>
      </c>
      <c r="F38" s="387">
        <f>+E38/D38</f>
        <v>0.7870711262968777</v>
      </c>
      <c r="G38" s="397"/>
      <c r="H38" s="384"/>
      <c r="I38" s="391"/>
      <c r="J38" s="391"/>
      <c r="K38" s="391"/>
      <c r="L38" s="387"/>
    </row>
    <row r="39" spans="1:12" ht="28.5">
      <c r="A39" s="397"/>
      <c r="B39" s="389" t="s">
        <v>182</v>
      </c>
      <c r="C39" s="386"/>
      <c r="D39" s="386"/>
      <c r="E39" s="386"/>
      <c r="F39" s="387"/>
      <c r="G39" s="397"/>
      <c r="H39" s="384"/>
      <c r="I39" s="391"/>
      <c r="J39" s="391"/>
      <c r="K39" s="391"/>
      <c r="L39" s="387"/>
    </row>
    <row r="40" spans="1:12" ht="28.5">
      <c r="A40" s="397"/>
      <c r="B40" s="389" t="s">
        <v>183</v>
      </c>
      <c r="C40" s="386"/>
      <c r="D40" s="386"/>
      <c r="E40" s="386"/>
      <c r="F40" s="387"/>
      <c r="G40" s="397"/>
      <c r="H40" s="384"/>
      <c r="I40" s="391"/>
      <c r="J40" s="391"/>
      <c r="K40" s="391"/>
      <c r="L40" s="387"/>
    </row>
    <row r="41" spans="1:12" ht="19.5" customHeight="1">
      <c r="A41" s="468"/>
      <c r="B41" s="469" t="s">
        <v>184</v>
      </c>
      <c r="C41" s="386">
        <f>+C94+C146</f>
        <v>105622050</v>
      </c>
      <c r="D41" s="426">
        <f>+D94+D146</f>
        <v>194945999</v>
      </c>
      <c r="E41" s="386">
        <f>+E94+E146</f>
        <v>153436367</v>
      </c>
      <c r="F41" s="427">
        <f>+E41/D41</f>
        <v>0.7870711262968777</v>
      </c>
      <c r="G41" s="397"/>
      <c r="H41" s="384"/>
      <c r="I41" s="391"/>
      <c r="J41" s="391"/>
      <c r="K41" s="391"/>
      <c r="L41" s="401"/>
    </row>
    <row r="42" spans="1:12" ht="19.5" customHeight="1" thickBot="1">
      <c r="A42" s="470"/>
      <c r="B42" s="471"/>
      <c r="C42" s="386"/>
      <c r="D42" s="472"/>
      <c r="E42" s="473"/>
      <c r="F42" s="474"/>
      <c r="G42" s="398"/>
      <c r="H42" s="402"/>
      <c r="I42" s="403"/>
      <c r="J42" s="403"/>
      <c r="K42" s="403"/>
      <c r="L42" s="401"/>
    </row>
    <row r="43" spans="1:12" ht="19.5" customHeight="1" thickBot="1">
      <c r="A43" s="368"/>
      <c r="B43" s="372" t="s">
        <v>205</v>
      </c>
      <c r="C43" s="417">
        <f>SUM(C44:C50)</f>
        <v>502298148</v>
      </c>
      <c r="D43" s="417">
        <f>SUM(D44:D51)</f>
        <v>406506430</v>
      </c>
      <c r="E43" s="417">
        <f>SUM(E44:E51)</f>
        <v>406506430</v>
      </c>
      <c r="F43" s="418">
        <f>+E43/D43</f>
        <v>1</v>
      </c>
      <c r="G43" s="368"/>
      <c r="H43" s="419" t="s">
        <v>206</v>
      </c>
      <c r="I43" s="420">
        <f>SUM(I44:I51)</f>
        <v>11220000</v>
      </c>
      <c r="J43" s="420">
        <f>SUM(J44:J51)</f>
        <v>11220000</v>
      </c>
      <c r="K43" s="420">
        <f>SUM(K44:K51)</f>
        <v>11220000</v>
      </c>
      <c r="L43" s="418">
        <f>+K43/J43</f>
        <v>1</v>
      </c>
    </row>
    <row r="44" spans="1:12" ht="42.75">
      <c r="A44" s="381" t="s">
        <v>111</v>
      </c>
      <c r="B44" s="421" t="s">
        <v>119</v>
      </c>
      <c r="C44" s="386"/>
      <c r="D44" s="422"/>
      <c r="E44" s="422"/>
      <c r="F44" s="423"/>
      <c r="G44" s="424" t="s">
        <v>111</v>
      </c>
      <c r="H44" s="421" t="s">
        <v>134</v>
      </c>
      <c r="I44" s="383"/>
      <c r="J44" s="383"/>
      <c r="K44" s="383"/>
      <c r="L44" s="423"/>
    </row>
    <row r="45" spans="1:12" ht="19.5" customHeight="1">
      <c r="A45" s="384" t="s">
        <v>112</v>
      </c>
      <c r="B45" s="425" t="s">
        <v>120</v>
      </c>
      <c r="C45" s="386"/>
      <c r="D45" s="426"/>
      <c r="E45" s="426"/>
      <c r="F45" s="427"/>
      <c r="G45" s="428" t="s">
        <v>112</v>
      </c>
      <c r="H45" s="425" t="s">
        <v>135</v>
      </c>
      <c r="I45" s="383"/>
      <c r="J45" s="383"/>
      <c r="K45" s="383"/>
      <c r="L45" s="427"/>
    </row>
    <row r="46" spans="1:12" ht="19.5" customHeight="1">
      <c r="A46" s="384" t="s">
        <v>113</v>
      </c>
      <c r="B46" s="425" t="s">
        <v>121</v>
      </c>
      <c r="C46" s="386"/>
      <c r="D46" s="426"/>
      <c r="E46" s="426"/>
      <c r="F46" s="427"/>
      <c r="G46" s="428" t="s">
        <v>113</v>
      </c>
      <c r="H46" s="425" t="s">
        <v>136</v>
      </c>
      <c r="I46" s="383"/>
      <c r="J46" s="383"/>
      <c r="K46" s="383"/>
      <c r="L46" s="427"/>
    </row>
    <row r="47" spans="1:12" ht="19.5" customHeight="1">
      <c r="A47" s="384" t="s">
        <v>114</v>
      </c>
      <c r="B47" s="425" t="s">
        <v>122</v>
      </c>
      <c r="C47" s="386"/>
      <c r="D47" s="426"/>
      <c r="E47" s="426"/>
      <c r="F47" s="427"/>
      <c r="G47" s="428" t="s">
        <v>114</v>
      </c>
      <c r="H47" s="425" t="s">
        <v>137</v>
      </c>
      <c r="I47" s="383"/>
      <c r="J47" s="383"/>
      <c r="K47" s="383"/>
      <c r="L47" s="427"/>
    </row>
    <row r="48" spans="1:12" ht="19.5" customHeight="1">
      <c r="A48" s="384" t="s">
        <v>115</v>
      </c>
      <c r="B48" s="425" t="s">
        <v>123</v>
      </c>
      <c r="C48" s="386"/>
      <c r="D48" s="426"/>
      <c r="E48" s="426"/>
      <c r="F48" s="427"/>
      <c r="G48" s="428" t="s">
        <v>115</v>
      </c>
      <c r="H48" s="425" t="s">
        <v>138</v>
      </c>
      <c r="I48" s="383"/>
      <c r="J48" s="383"/>
      <c r="K48" s="383"/>
      <c r="L48" s="427"/>
    </row>
    <row r="49" spans="1:12" ht="28.5">
      <c r="A49" s="384" t="s">
        <v>116</v>
      </c>
      <c r="B49" s="425" t="s">
        <v>124</v>
      </c>
      <c r="C49" s="386">
        <f>+C101+C153</f>
        <v>502298148</v>
      </c>
      <c r="D49" s="426">
        <f>+D101+D153</f>
        <v>395286430</v>
      </c>
      <c r="E49" s="426">
        <f>+E101+E153</f>
        <v>395286430</v>
      </c>
      <c r="F49" s="427">
        <f>+E49/D49</f>
        <v>1</v>
      </c>
      <c r="G49" s="428" t="s">
        <v>116</v>
      </c>
      <c r="H49" s="425" t="s">
        <v>218</v>
      </c>
      <c r="I49" s="383"/>
      <c r="J49" s="383"/>
      <c r="K49" s="383"/>
      <c r="L49" s="427"/>
    </row>
    <row r="50" spans="1:12" ht="28.5">
      <c r="A50" s="384" t="s">
        <v>117</v>
      </c>
      <c r="B50" s="389" t="s">
        <v>125</v>
      </c>
      <c r="C50" s="386"/>
      <c r="D50" s="386"/>
      <c r="E50" s="386"/>
      <c r="F50" s="387"/>
      <c r="G50" s="393" t="s">
        <v>117</v>
      </c>
      <c r="H50" s="425" t="s">
        <v>139</v>
      </c>
      <c r="I50" s="395"/>
      <c r="J50" s="395"/>
      <c r="K50" s="395"/>
      <c r="L50" s="387"/>
    </row>
    <row r="51" spans="1:12" ht="19.5" customHeight="1" thickBot="1">
      <c r="A51" s="475"/>
      <c r="B51" s="433" t="s">
        <v>214</v>
      </c>
      <c r="C51" s="458"/>
      <c r="D51" s="413">
        <f>D103</f>
        <v>11220000</v>
      </c>
      <c r="E51" s="413">
        <f>E103</f>
        <v>11220000</v>
      </c>
      <c r="F51" s="474">
        <f>+E51/D51</f>
        <v>1</v>
      </c>
      <c r="G51" s="476" t="s">
        <v>213</v>
      </c>
      <c r="H51" s="477" t="s">
        <v>214</v>
      </c>
      <c r="I51" s="478">
        <f>I103</f>
        <v>11220000</v>
      </c>
      <c r="J51" s="478">
        <f>+J103</f>
        <v>11220000</v>
      </c>
      <c r="K51" s="478">
        <f>+K103</f>
        <v>11220000</v>
      </c>
      <c r="L51" s="474">
        <f>+K51/J51</f>
        <v>1</v>
      </c>
    </row>
    <row r="52" spans="1:15" ht="19.5" customHeight="1" thickBot="1">
      <c r="A52" s="440"/>
      <c r="B52" s="368" t="s">
        <v>148</v>
      </c>
      <c r="C52" s="374">
        <f>+C5+C43</f>
        <v>979607008</v>
      </c>
      <c r="D52" s="374">
        <f>+D5+D43</f>
        <v>1083224637</v>
      </c>
      <c r="E52" s="374">
        <f>+E5+E43</f>
        <v>961478017</v>
      </c>
      <c r="F52" s="375">
        <f>+E52/D52</f>
        <v>0.8876072276779281</v>
      </c>
      <c r="G52" s="440"/>
      <c r="H52" s="368" t="s">
        <v>149</v>
      </c>
      <c r="I52" s="374">
        <f>+I5+I43</f>
        <v>979607008</v>
      </c>
      <c r="J52" s="374">
        <f>+J5+J43</f>
        <v>1083224637</v>
      </c>
      <c r="K52" s="374">
        <f>+K5+K43</f>
        <v>551805954</v>
      </c>
      <c r="L52" s="375">
        <f>+K52/J52</f>
        <v>0.5094104538909228</v>
      </c>
      <c r="M52" s="441">
        <f>C52-I52</f>
        <v>0</v>
      </c>
      <c r="N52" s="441">
        <f>D52-J52</f>
        <v>0</v>
      </c>
      <c r="O52" s="441"/>
    </row>
    <row r="54" spans="8:12" ht="19.5" customHeight="1">
      <c r="H54" s="715" t="s">
        <v>910</v>
      </c>
      <c r="I54" s="715"/>
      <c r="J54" s="715"/>
      <c r="K54" s="715"/>
      <c r="L54" s="715"/>
    </row>
    <row r="55" spans="1:12" ht="19.5" customHeight="1">
      <c r="A55" s="711" t="s">
        <v>875</v>
      </c>
      <c r="B55" s="711"/>
      <c r="C55" s="711"/>
      <c r="D55" s="711"/>
      <c r="E55" s="711"/>
      <c r="F55" s="711"/>
      <c r="G55" s="711"/>
      <c r="H55" s="711"/>
      <c r="I55" s="711"/>
      <c r="J55" s="711"/>
      <c r="K55" s="711"/>
      <c r="L55" s="711"/>
    </row>
    <row r="56" ht="19.5" customHeight="1" thickBot="1">
      <c r="L56" s="467" t="s">
        <v>215</v>
      </c>
    </row>
    <row r="57" spans="1:12" ht="30.75" thickBot="1">
      <c r="A57" s="367"/>
      <c r="B57" s="368" t="s">
        <v>104</v>
      </c>
      <c r="C57" s="369" t="s">
        <v>305</v>
      </c>
      <c r="D57" s="369" t="s">
        <v>843</v>
      </c>
      <c r="E57" s="369" t="s">
        <v>303</v>
      </c>
      <c r="F57" s="370" t="s">
        <v>304</v>
      </c>
      <c r="G57" s="371"/>
      <c r="H57" s="368" t="s">
        <v>105</v>
      </c>
      <c r="I57" s="369" t="str">
        <f>C57</f>
        <v>Eredeti előirányzat </v>
      </c>
      <c r="J57" s="369" t="str">
        <f>D57</f>
        <v>Módosított előirányzta V.</v>
      </c>
      <c r="K57" s="369" t="s">
        <v>303</v>
      </c>
      <c r="L57" s="370" t="s">
        <v>304</v>
      </c>
    </row>
    <row r="58" spans="1:12" ht="19.5" customHeight="1" thickBot="1">
      <c r="A58" s="367"/>
      <c r="B58" s="372" t="s">
        <v>155</v>
      </c>
      <c r="C58" s="373">
        <f>+C59+C72+C80+C91</f>
        <v>458915095</v>
      </c>
      <c r="D58" s="374">
        <f>+D59+D72+D80+D91</f>
        <v>564033291</v>
      </c>
      <c r="E58" s="374">
        <f>+E59+E72+E80+E91</f>
        <v>488744857</v>
      </c>
      <c r="F58" s="375">
        <f>+E58/D58</f>
        <v>0.8665177477972661</v>
      </c>
      <c r="G58" s="371"/>
      <c r="H58" s="372" t="s">
        <v>156</v>
      </c>
      <c r="I58" s="373">
        <f>SUM(I59:I63)</f>
        <v>432013508</v>
      </c>
      <c r="J58" s="373">
        <f>SUM(J59:J63)</f>
        <v>474452733</v>
      </c>
      <c r="K58" s="373">
        <f>SUM(K59:K63)</f>
        <v>264944704</v>
      </c>
      <c r="L58" s="375">
        <f>+K58/J58</f>
        <v>0.5584217047812854</v>
      </c>
    </row>
    <row r="59" spans="1:12" ht="19.5" customHeight="1">
      <c r="A59" s="377" t="s">
        <v>23</v>
      </c>
      <c r="B59" s="378" t="s">
        <v>157</v>
      </c>
      <c r="C59" s="379">
        <f>+C60+C67+C68+C69+C70+C71</f>
        <v>349060185</v>
      </c>
      <c r="D59" s="379">
        <f>+D60+D67+D68+D69+D70+D71</f>
        <v>363399871</v>
      </c>
      <c r="E59" s="379">
        <f>+E60+E67+E68+E69+E70+E71</f>
        <v>333198701</v>
      </c>
      <c r="F59" s="380">
        <f>+E59/D59</f>
        <v>0.9168927332943384</v>
      </c>
      <c r="G59" s="381" t="s">
        <v>23</v>
      </c>
      <c r="H59" s="382" t="s">
        <v>80</v>
      </c>
      <c r="I59" s="383">
        <f>+'3.sz.mell_2020.fő'!I83</f>
        <v>138004508</v>
      </c>
      <c r="J59" s="383">
        <f>+'3.sz.mell_2020.fő'!J83</f>
        <v>142247703</v>
      </c>
      <c r="K59" s="383">
        <f>+'3.sz.mell_2020.fő'!K83</f>
        <v>94373686</v>
      </c>
      <c r="L59" s="380">
        <f>+K59/J59</f>
        <v>0.6634461155411416</v>
      </c>
    </row>
    <row r="60" spans="1:12" ht="19.5" customHeight="1">
      <c r="A60" s="384" t="s">
        <v>111</v>
      </c>
      <c r="B60" s="385" t="s">
        <v>158</v>
      </c>
      <c r="C60" s="386">
        <f>SUM(C61:C66)</f>
        <v>295492000</v>
      </c>
      <c r="D60" s="386">
        <f>SUM(D61:D66)</f>
        <v>295455928</v>
      </c>
      <c r="E60" s="386">
        <f>SUM(E61:E66)</f>
        <v>295455928</v>
      </c>
      <c r="F60" s="387">
        <f>+E60/D60</f>
        <v>1</v>
      </c>
      <c r="G60" s="384" t="s">
        <v>45</v>
      </c>
      <c r="H60" s="388" t="s">
        <v>147</v>
      </c>
      <c r="I60" s="383">
        <f>+'3.sz.mell_2020.fő'!I84</f>
        <v>28049738</v>
      </c>
      <c r="J60" s="383">
        <f>+'3.sz.mell_2020.fő'!J84</f>
        <v>26446374</v>
      </c>
      <c r="K60" s="383">
        <f>+'3.sz.mell_2020.fő'!K84</f>
        <v>14857187</v>
      </c>
      <c r="L60" s="387">
        <f>+K60/J60</f>
        <v>0.5617854077084443</v>
      </c>
    </row>
    <row r="61" spans="1:12" ht="19.5" customHeight="1">
      <c r="A61" s="384"/>
      <c r="B61" s="389" t="s">
        <v>159</v>
      </c>
      <c r="C61" s="386">
        <f>+'3.sz.mell_2020.fő'!C85</f>
        <v>280500000</v>
      </c>
      <c r="D61" s="386">
        <f>+'3.sz.mell_2020.fő'!D85</f>
        <v>280635928</v>
      </c>
      <c r="E61" s="386">
        <f>+'3.sz.mell_2020.fő'!E85</f>
        <v>280635928</v>
      </c>
      <c r="F61" s="387">
        <f>+E61/D61</f>
        <v>1</v>
      </c>
      <c r="G61" s="384" t="s">
        <v>56</v>
      </c>
      <c r="H61" s="388" t="s">
        <v>83</v>
      </c>
      <c r="I61" s="383">
        <f>+'3.sz.mell_2020.fő'!I85</f>
        <v>228159262</v>
      </c>
      <c r="J61" s="383">
        <f>+'3.sz.mell_2020.fő'!J85</f>
        <v>256582433</v>
      </c>
      <c r="K61" s="383">
        <f>+'3.sz.mell_2020.fő'!K85</f>
        <v>114766421</v>
      </c>
      <c r="L61" s="387">
        <f>+K61/J61</f>
        <v>0.44728869259728316</v>
      </c>
    </row>
    <row r="62" spans="1:12" ht="19.5" customHeight="1">
      <c r="A62" s="384"/>
      <c r="B62" s="389" t="s">
        <v>160</v>
      </c>
      <c r="C62" s="386"/>
      <c r="D62" s="386"/>
      <c r="E62" s="386"/>
      <c r="F62" s="387"/>
      <c r="G62" s="384" t="s">
        <v>64</v>
      </c>
      <c r="H62" s="388" t="s">
        <v>84</v>
      </c>
      <c r="I62" s="383"/>
      <c r="J62" s="383"/>
      <c r="K62" s="383"/>
      <c r="L62" s="387"/>
    </row>
    <row r="63" spans="1:12" ht="28.5">
      <c r="A63" s="384"/>
      <c r="B63" s="389" t="s">
        <v>161</v>
      </c>
      <c r="C63" s="386"/>
      <c r="D63" s="386"/>
      <c r="E63" s="386"/>
      <c r="F63" s="387"/>
      <c r="G63" s="384" t="s">
        <v>100</v>
      </c>
      <c r="H63" s="388" t="s">
        <v>217</v>
      </c>
      <c r="I63" s="383">
        <f>+'3.sz.mell_2020.fő'!I87</f>
        <v>37800000</v>
      </c>
      <c r="J63" s="383">
        <f>+'3.sz.mell_2020.fő'!J87</f>
        <v>49176223</v>
      </c>
      <c r="K63" s="383">
        <f>+'3.sz.mell_2020.fő'!K87</f>
        <v>40947410</v>
      </c>
      <c r="L63" s="387">
        <f>+K63/J63</f>
        <v>0.8326668357592245</v>
      </c>
    </row>
    <row r="64" spans="1:12" ht="19.5" customHeight="1">
      <c r="A64" s="384"/>
      <c r="B64" s="389" t="s">
        <v>162</v>
      </c>
      <c r="C64" s="386"/>
      <c r="D64" s="386"/>
      <c r="E64" s="386"/>
      <c r="F64" s="387"/>
      <c r="G64" s="384"/>
      <c r="H64" s="390" t="s">
        <v>212</v>
      </c>
      <c r="I64" s="383"/>
      <c r="J64" s="383"/>
      <c r="K64" s="383"/>
      <c r="L64" s="387"/>
    </row>
    <row r="65" spans="1:12" ht="19.5" customHeight="1">
      <c r="A65" s="384"/>
      <c r="B65" s="389" t="s">
        <v>163</v>
      </c>
      <c r="C65" s="386"/>
      <c r="D65" s="386"/>
      <c r="E65" s="386"/>
      <c r="F65" s="387"/>
      <c r="G65" s="384"/>
      <c r="H65" s="384"/>
      <c r="I65" s="383"/>
      <c r="J65" s="383"/>
      <c r="K65" s="383"/>
      <c r="L65" s="387"/>
    </row>
    <row r="66" spans="1:12" ht="19.5" customHeight="1">
      <c r="A66" s="384"/>
      <c r="B66" s="389" t="s">
        <v>164</v>
      </c>
      <c r="C66" s="386">
        <f>+'3.sz.mell_2020.fő'!C90</f>
        <v>14992000</v>
      </c>
      <c r="D66" s="386">
        <f>+'3.sz.mell_2020.fő'!D90</f>
        <v>14820000</v>
      </c>
      <c r="E66" s="386">
        <f>+'3.sz.mell_2020.fő'!E90</f>
        <v>14820000</v>
      </c>
      <c r="F66" s="387">
        <f>+E66/D66</f>
        <v>1</v>
      </c>
      <c r="G66" s="384"/>
      <c r="H66" s="384"/>
      <c r="I66" s="391"/>
      <c r="J66" s="391"/>
      <c r="K66" s="391"/>
      <c r="L66" s="387"/>
    </row>
    <row r="67" spans="1:12" ht="19.5" customHeight="1">
      <c r="A67" s="384" t="s">
        <v>112</v>
      </c>
      <c r="B67" s="392" t="s">
        <v>165</v>
      </c>
      <c r="C67" s="386"/>
      <c r="D67" s="386"/>
      <c r="E67" s="386"/>
      <c r="F67" s="387"/>
      <c r="G67" s="384"/>
      <c r="H67" s="384"/>
      <c r="I67" s="391"/>
      <c r="J67" s="391"/>
      <c r="K67" s="391"/>
      <c r="L67" s="387"/>
    </row>
    <row r="68" spans="1:12" ht="30">
      <c r="A68" s="384" t="s">
        <v>113</v>
      </c>
      <c r="B68" s="392" t="s">
        <v>166</v>
      </c>
      <c r="C68" s="386"/>
      <c r="D68" s="386"/>
      <c r="E68" s="386"/>
      <c r="F68" s="387"/>
      <c r="G68" s="384"/>
      <c r="H68" s="384"/>
      <c r="I68" s="391"/>
      <c r="J68" s="391"/>
      <c r="K68" s="391"/>
      <c r="L68" s="387"/>
    </row>
    <row r="69" spans="1:12" ht="30">
      <c r="A69" s="384" t="s">
        <v>114</v>
      </c>
      <c r="B69" s="392" t="s">
        <v>167</v>
      </c>
      <c r="C69" s="386"/>
      <c r="D69" s="386"/>
      <c r="E69" s="386"/>
      <c r="F69" s="387"/>
      <c r="G69" s="384"/>
      <c r="H69" s="384"/>
      <c r="I69" s="391"/>
      <c r="J69" s="391"/>
      <c r="K69" s="391"/>
      <c r="L69" s="387"/>
    </row>
    <row r="70" spans="1:12" ht="30">
      <c r="A70" s="384" t="s">
        <v>115</v>
      </c>
      <c r="B70" s="392" t="s">
        <v>168</v>
      </c>
      <c r="C70" s="386"/>
      <c r="D70" s="386"/>
      <c r="E70" s="386"/>
      <c r="F70" s="387"/>
      <c r="G70" s="384"/>
      <c r="H70" s="384"/>
      <c r="I70" s="391"/>
      <c r="J70" s="391"/>
      <c r="K70" s="391"/>
      <c r="L70" s="387"/>
    </row>
    <row r="71" spans="1:12" ht="15">
      <c r="A71" s="384" t="s">
        <v>116</v>
      </c>
      <c r="B71" s="392" t="s">
        <v>169</v>
      </c>
      <c r="C71" s="386">
        <f>+'3.sz.mell_2020.fő'!C95</f>
        <v>53568185</v>
      </c>
      <c r="D71" s="386">
        <f>+'3.sz.mell_2020.fő'!D95</f>
        <v>67943943</v>
      </c>
      <c r="E71" s="386">
        <f>+'3.sz.mell_2020.fő'!E95</f>
        <v>37742773</v>
      </c>
      <c r="F71" s="387">
        <f>+E71/D71</f>
        <v>0.5554987145800473</v>
      </c>
      <c r="G71" s="384"/>
      <c r="H71" s="384"/>
      <c r="I71" s="391"/>
      <c r="J71" s="391"/>
      <c r="K71" s="391"/>
      <c r="L71" s="387"/>
    </row>
    <row r="72" spans="1:12" ht="19.5" customHeight="1">
      <c r="A72" s="393" t="s">
        <v>45</v>
      </c>
      <c r="B72" s="394" t="s">
        <v>9</v>
      </c>
      <c r="C72" s="395"/>
      <c r="D72" s="395"/>
      <c r="E72" s="395"/>
      <c r="F72" s="396"/>
      <c r="G72" s="397"/>
      <c r="H72" s="384"/>
      <c r="I72" s="391"/>
      <c r="J72" s="391"/>
      <c r="K72" s="391"/>
      <c r="L72" s="396"/>
    </row>
    <row r="73" spans="1:12" ht="19.5" customHeight="1">
      <c r="A73" s="393"/>
      <c r="B73" s="397" t="s">
        <v>140</v>
      </c>
      <c r="C73" s="386"/>
      <c r="D73" s="386"/>
      <c r="E73" s="386"/>
      <c r="F73" s="387"/>
      <c r="G73" s="397"/>
      <c r="H73" s="384"/>
      <c r="I73" s="391"/>
      <c r="J73" s="391"/>
      <c r="K73" s="391"/>
      <c r="L73" s="387"/>
    </row>
    <row r="74" spans="1:12" ht="19.5" customHeight="1">
      <c r="A74" s="393"/>
      <c r="B74" s="397" t="s">
        <v>141</v>
      </c>
      <c r="C74" s="386"/>
      <c r="D74" s="386"/>
      <c r="E74" s="386"/>
      <c r="F74" s="387"/>
      <c r="G74" s="397"/>
      <c r="H74" s="384"/>
      <c r="I74" s="391"/>
      <c r="J74" s="391"/>
      <c r="K74" s="391"/>
      <c r="L74" s="387"/>
    </row>
    <row r="75" spans="1:12" ht="19.5" customHeight="1">
      <c r="A75" s="393"/>
      <c r="B75" s="397" t="s">
        <v>142</v>
      </c>
      <c r="C75" s="386"/>
      <c r="D75" s="386"/>
      <c r="E75" s="386"/>
      <c r="F75" s="387"/>
      <c r="G75" s="397"/>
      <c r="H75" s="384"/>
      <c r="I75" s="391"/>
      <c r="J75" s="391"/>
      <c r="K75" s="391"/>
      <c r="L75" s="387"/>
    </row>
    <row r="76" spans="1:12" ht="19.5" customHeight="1">
      <c r="A76" s="393"/>
      <c r="B76" s="397" t="s">
        <v>143</v>
      </c>
      <c r="C76" s="386"/>
      <c r="D76" s="386"/>
      <c r="E76" s="386"/>
      <c r="F76" s="387"/>
      <c r="G76" s="397"/>
      <c r="H76" s="384"/>
      <c r="I76" s="391"/>
      <c r="J76" s="391"/>
      <c r="K76" s="391"/>
      <c r="L76" s="387"/>
    </row>
    <row r="77" spans="1:12" ht="19.5" customHeight="1">
      <c r="A77" s="393"/>
      <c r="B77" s="397" t="s">
        <v>144</v>
      </c>
      <c r="C77" s="386"/>
      <c r="D77" s="386"/>
      <c r="E77" s="386"/>
      <c r="F77" s="387"/>
      <c r="G77" s="397"/>
      <c r="H77" s="384"/>
      <c r="I77" s="391"/>
      <c r="J77" s="391"/>
      <c r="K77" s="391"/>
      <c r="L77" s="387"/>
    </row>
    <row r="78" spans="1:12" ht="19.5" customHeight="1">
      <c r="A78" s="393"/>
      <c r="B78" s="397" t="s">
        <v>145</v>
      </c>
      <c r="C78" s="386"/>
      <c r="D78" s="386"/>
      <c r="E78" s="386"/>
      <c r="F78" s="387"/>
      <c r="G78" s="397"/>
      <c r="H78" s="384"/>
      <c r="I78" s="391"/>
      <c r="J78" s="391"/>
      <c r="K78" s="391"/>
      <c r="L78" s="387"/>
    </row>
    <row r="79" spans="1:12" ht="19.5" customHeight="1">
      <c r="A79" s="393"/>
      <c r="B79" s="397" t="s">
        <v>146</v>
      </c>
      <c r="C79" s="386"/>
      <c r="D79" s="386"/>
      <c r="E79" s="386"/>
      <c r="F79" s="387"/>
      <c r="G79" s="397"/>
      <c r="H79" s="384"/>
      <c r="I79" s="391"/>
      <c r="J79" s="391"/>
      <c r="K79" s="391"/>
      <c r="L79" s="387"/>
    </row>
    <row r="80" spans="1:12" ht="19.5" customHeight="1">
      <c r="A80" s="393" t="s">
        <v>56</v>
      </c>
      <c r="B80" s="394" t="s">
        <v>170</v>
      </c>
      <c r="C80" s="386">
        <f>SUM(C81:C90)</f>
        <v>4232860</v>
      </c>
      <c r="D80" s="386">
        <f>SUM(D81:D90)</f>
        <v>5687421</v>
      </c>
      <c r="E80" s="386">
        <f>SUM(E81:E90)</f>
        <v>2109789</v>
      </c>
      <c r="F80" s="387">
        <f>+E80/D80</f>
        <v>0.3709570647223056</v>
      </c>
      <c r="G80" s="397"/>
      <c r="H80" s="384"/>
      <c r="I80" s="391"/>
      <c r="J80" s="391"/>
      <c r="K80" s="391"/>
      <c r="L80" s="387"/>
    </row>
    <row r="81" spans="1:12" ht="19.5" customHeight="1">
      <c r="A81" s="393"/>
      <c r="B81" s="389" t="s">
        <v>171</v>
      </c>
      <c r="C81" s="386">
        <f>+'3.sz.mell_2020.fő'!C105</f>
        <v>100000</v>
      </c>
      <c r="D81" s="386">
        <f>+'3.sz.mell_2020.fő'!D105</f>
        <v>100000</v>
      </c>
      <c r="E81" s="386">
        <f>+'3.sz.mell_2020.fő'!E105</f>
        <v>0</v>
      </c>
      <c r="F81" s="387">
        <f>+E81/D81</f>
        <v>0</v>
      </c>
      <c r="G81" s="397"/>
      <c r="H81" s="384"/>
      <c r="I81" s="391"/>
      <c r="J81" s="391"/>
      <c r="K81" s="391"/>
      <c r="L81" s="387"/>
    </row>
    <row r="82" spans="1:12" ht="19.5" customHeight="1">
      <c r="A82" s="393"/>
      <c r="B82" s="389" t="s">
        <v>172</v>
      </c>
      <c r="C82" s="386">
        <f>+'3.sz.mell_2020.fő'!C106</f>
        <v>4000000</v>
      </c>
      <c r="D82" s="386">
        <f>+'3.sz.mell_2020.fő'!D106</f>
        <v>4000000</v>
      </c>
      <c r="E82" s="386">
        <f>+'3.sz.mell_2020.fő'!E106</f>
        <v>530000</v>
      </c>
      <c r="F82" s="387">
        <f>+E82/D82</f>
        <v>0.1325</v>
      </c>
      <c r="G82" s="397"/>
      <c r="H82" s="384"/>
      <c r="I82" s="391"/>
      <c r="J82" s="391"/>
      <c r="K82" s="391"/>
      <c r="L82" s="387"/>
    </row>
    <row r="83" spans="1:12" ht="19.5" customHeight="1">
      <c r="A83" s="393"/>
      <c r="B83" s="389" t="s">
        <v>173</v>
      </c>
      <c r="C83" s="386">
        <f>+'3.sz.mell_2020.fő'!C107</f>
        <v>132860</v>
      </c>
      <c r="D83" s="386">
        <f>+'3.sz.mell_2020.fő'!D107</f>
        <v>387211</v>
      </c>
      <c r="E83" s="386">
        <f>+'3.sz.mell_2020.fő'!E107</f>
        <v>379579</v>
      </c>
      <c r="F83" s="387">
        <f>+E83/D83</f>
        <v>0.980289816146752</v>
      </c>
      <c r="G83" s="397"/>
      <c r="H83" s="384"/>
      <c r="I83" s="391"/>
      <c r="J83" s="391"/>
      <c r="K83" s="391"/>
      <c r="L83" s="387"/>
    </row>
    <row r="84" spans="1:12" ht="19.5" customHeight="1">
      <c r="A84" s="393"/>
      <c r="B84" s="389" t="s">
        <v>174</v>
      </c>
      <c r="C84" s="386"/>
      <c r="D84" s="386"/>
      <c r="E84" s="386"/>
      <c r="F84" s="387"/>
      <c r="G84" s="397"/>
      <c r="H84" s="384"/>
      <c r="I84" s="391"/>
      <c r="J84" s="391"/>
      <c r="K84" s="391"/>
      <c r="L84" s="387"/>
    </row>
    <row r="85" spans="1:12" ht="19.5" customHeight="1">
      <c r="A85" s="393"/>
      <c r="B85" s="389" t="s">
        <v>175</v>
      </c>
      <c r="C85" s="386"/>
      <c r="D85" s="386"/>
      <c r="E85" s="386"/>
      <c r="F85" s="387"/>
      <c r="G85" s="397"/>
      <c r="H85" s="384"/>
      <c r="I85" s="391"/>
      <c r="J85" s="391"/>
      <c r="K85" s="391"/>
      <c r="L85" s="387"/>
    </row>
    <row r="86" spans="1:12" ht="19.5" customHeight="1">
      <c r="A86" s="393"/>
      <c r="B86" s="389" t="s">
        <v>176</v>
      </c>
      <c r="C86" s="386"/>
      <c r="D86" s="386"/>
      <c r="E86" s="386"/>
      <c r="F86" s="387"/>
      <c r="G86" s="397"/>
      <c r="H86" s="384"/>
      <c r="I86" s="391"/>
      <c r="J86" s="391"/>
      <c r="K86" s="391"/>
      <c r="L86" s="387"/>
    </row>
    <row r="87" spans="1:12" ht="19.5" customHeight="1">
      <c r="A87" s="393"/>
      <c r="B87" s="389" t="s">
        <v>177</v>
      </c>
      <c r="C87" s="386"/>
      <c r="D87" s="386"/>
      <c r="E87" s="386"/>
      <c r="F87" s="387"/>
      <c r="G87" s="397"/>
      <c r="H87" s="384"/>
      <c r="I87" s="391"/>
      <c r="J87" s="391"/>
      <c r="K87" s="391"/>
      <c r="L87" s="387"/>
    </row>
    <row r="88" spans="1:12" ht="19.5" customHeight="1">
      <c r="A88" s="393"/>
      <c r="B88" s="389" t="s">
        <v>178</v>
      </c>
      <c r="C88" s="386"/>
      <c r="D88" s="386"/>
      <c r="E88" s="386"/>
      <c r="F88" s="387"/>
      <c r="G88" s="397"/>
      <c r="H88" s="384"/>
      <c r="I88" s="391"/>
      <c r="J88" s="391"/>
      <c r="K88" s="391"/>
      <c r="L88" s="387"/>
    </row>
    <row r="89" spans="1:12" ht="19.5" customHeight="1">
      <c r="A89" s="393"/>
      <c r="B89" s="389" t="s">
        <v>179</v>
      </c>
      <c r="C89" s="386">
        <f>+'3.sz.mell_2020.fő'!C113</f>
        <v>0</v>
      </c>
      <c r="D89" s="386">
        <f>+'3.sz.mell_2020.fő'!D113</f>
        <v>1000061</v>
      </c>
      <c r="E89" s="386">
        <f>+'3.sz.mell_2020.fő'!E113</f>
        <v>1000061</v>
      </c>
      <c r="F89" s="387">
        <f>+E89/D89</f>
        <v>1</v>
      </c>
      <c r="G89" s="397"/>
      <c r="H89" s="384"/>
      <c r="I89" s="391"/>
      <c r="J89" s="391"/>
      <c r="K89" s="391"/>
      <c r="L89" s="387"/>
    </row>
    <row r="90" spans="1:12" ht="19.5" customHeight="1">
      <c r="A90" s="393"/>
      <c r="B90" s="389" t="s">
        <v>180</v>
      </c>
      <c r="C90" s="386">
        <f>+'3.sz.mell_2020.fő'!C114</f>
        <v>0</v>
      </c>
      <c r="D90" s="386">
        <f>+'3.sz.mell_2020.fő'!D114</f>
        <v>200149</v>
      </c>
      <c r="E90" s="386">
        <f>+'3.sz.mell_2020.fő'!E114</f>
        <v>200149</v>
      </c>
      <c r="F90" s="387">
        <f>+E90/D90</f>
        <v>1</v>
      </c>
      <c r="G90" s="397"/>
      <c r="H90" s="384"/>
      <c r="I90" s="391"/>
      <c r="J90" s="391"/>
      <c r="K90" s="391"/>
      <c r="L90" s="387"/>
    </row>
    <row r="91" spans="1:12" ht="19.5" customHeight="1">
      <c r="A91" s="393" t="s">
        <v>64</v>
      </c>
      <c r="B91" s="394" t="s">
        <v>181</v>
      </c>
      <c r="C91" s="386">
        <f>SUM(C92:C94)</f>
        <v>105622050</v>
      </c>
      <c r="D91" s="386">
        <f>SUM(D92:D94)</f>
        <v>194945999</v>
      </c>
      <c r="E91" s="386">
        <f>SUM(E92:E94)</f>
        <v>153436367</v>
      </c>
      <c r="F91" s="387">
        <f>+E91/D91</f>
        <v>0.7870711262968777</v>
      </c>
      <c r="G91" s="397"/>
      <c r="H91" s="384"/>
      <c r="I91" s="391"/>
      <c r="J91" s="391"/>
      <c r="K91" s="391"/>
      <c r="L91" s="387"/>
    </row>
    <row r="92" spans="1:12" ht="28.5">
      <c r="A92" s="397"/>
      <c r="B92" s="389" t="s">
        <v>182</v>
      </c>
      <c r="C92" s="386"/>
      <c r="D92" s="386"/>
      <c r="E92" s="386"/>
      <c r="F92" s="387"/>
      <c r="G92" s="397"/>
      <c r="H92" s="384"/>
      <c r="I92" s="391"/>
      <c r="J92" s="391"/>
      <c r="K92" s="391"/>
      <c r="L92" s="387"/>
    </row>
    <row r="93" spans="1:12" ht="28.5">
      <c r="A93" s="397"/>
      <c r="B93" s="389" t="s">
        <v>183</v>
      </c>
      <c r="C93" s="386"/>
      <c r="D93" s="386"/>
      <c r="E93" s="386"/>
      <c r="F93" s="387"/>
      <c r="G93" s="397"/>
      <c r="H93" s="384"/>
      <c r="I93" s="391"/>
      <c r="J93" s="391"/>
      <c r="K93" s="391"/>
      <c r="L93" s="387"/>
    </row>
    <row r="94" spans="1:12" ht="19.5" customHeight="1" thickBot="1">
      <c r="A94" s="398"/>
      <c r="B94" s="399" t="s">
        <v>184</v>
      </c>
      <c r="C94" s="386">
        <f>+'3.sz.mell_2020.fő'!C118</f>
        <v>105622050</v>
      </c>
      <c r="D94" s="400">
        <f>+'3.sz.mell_2020.fő'!D118</f>
        <v>194945999</v>
      </c>
      <c r="E94" s="400">
        <f>+'3.sz.mell_2020.fő'!E118</f>
        <v>153436367</v>
      </c>
      <c r="F94" s="401">
        <f>+E94/D94</f>
        <v>0.7870711262968777</v>
      </c>
      <c r="G94" s="398"/>
      <c r="H94" s="402"/>
      <c r="I94" s="403"/>
      <c r="J94" s="403"/>
      <c r="K94" s="403"/>
      <c r="L94" s="401"/>
    </row>
    <row r="95" spans="1:12" ht="19.5" customHeight="1" thickBot="1">
      <c r="A95" s="368"/>
      <c r="B95" s="372" t="s">
        <v>205</v>
      </c>
      <c r="C95" s="417">
        <f>SUM(C96:C102)</f>
        <v>203645993</v>
      </c>
      <c r="D95" s="417">
        <f>SUM(D96:D103)</f>
        <v>169313803</v>
      </c>
      <c r="E95" s="417">
        <f>SUM(E96:E103)</f>
        <v>169313803</v>
      </c>
      <c r="F95" s="418">
        <f>+E95/D95</f>
        <v>1</v>
      </c>
      <c r="G95" s="368"/>
      <c r="H95" s="419" t="s">
        <v>206</v>
      </c>
      <c r="I95" s="420">
        <f>SUM(I96:I103)</f>
        <v>230547580</v>
      </c>
      <c r="J95" s="420">
        <f>SUM(J96:J103)</f>
        <v>258894361</v>
      </c>
      <c r="K95" s="420">
        <f>SUM(K96:K103)</f>
        <v>181358147</v>
      </c>
      <c r="L95" s="418">
        <f>+K95/J95</f>
        <v>0.7005102247089885</v>
      </c>
    </row>
    <row r="96" spans="1:12" ht="42.75">
      <c r="A96" s="381" t="s">
        <v>111</v>
      </c>
      <c r="B96" s="421" t="s">
        <v>119</v>
      </c>
      <c r="C96" s="386"/>
      <c r="D96" s="422"/>
      <c r="E96" s="422"/>
      <c r="F96" s="423"/>
      <c r="G96" s="424" t="s">
        <v>111</v>
      </c>
      <c r="H96" s="421" t="s">
        <v>134</v>
      </c>
      <c r="I96" s="383"/>
      <c r="J96" s="383"/>
      <c r="K96" s="383"/>
      <c r="L96" s="423"/>
    </row>
    <row r="97" spans="1:12" ht="19.5" customHeight="1">
      <c r="A97" s="384" t="s">
        <v>112</v>
      </c>
      <c r="B97" s="425" t="s">
        <v>120</v>
      </c>
      <c r="C97" s="386"/>
      <c r="D97" s="426"/>
      <c r="E97" s="426"/>
      <c r="F97" s="427"/>
      <c r="G97" s="428" t="s">
        <v>112</v>
      </c>
      <c r="H97" s="425" t="s">
        <v>135</v>
      </c>
      <c r="I97" s="383"/>
      <c r="J97" s="383"/>
      <c r="K97" s="383"/>
      <c r="L97" s="427"/>
    </row>
    <row r="98" spans="1:12" ht="19.5" customHeight="1">
      <c r="A98" s="384" t="s">
        <v>113</v>
      </c>
      <c r="B98" s="425" t="s">
        <v>121</v>
      </c>
      <c r="C98" s="386"/>
      <c r="D98" s="426"/>
      <c r="E98" s="426"/>
      <c r="F98" s="427"/>
      <c r="G98" s="428" t="s">
        <v>113</v>
      </c>
      <c r="H98" s="425" t="s">
        <v>136</v>
      </c>
      <c r="I98" s="383"/>
      <c r="J98" s="383"/>
      <c r="K98" s="383"/>
      <c r="L98" s="427"/>
    </row>
    <row r="99" spans="1:12" ht="19.5" customHeight="1">
      <c r="A99" s="384" t="s">
        <v>114</v>
      </c>
      <c r="B99" s="425" t="s">
        <v>122</v>
      </c>
      <c r="C99" s="386"/>
      <c r="D99" s="426"/>
      <c r="E99" s="426"/>
      <c r="F99" s="427"/>
      <c r="G99" s="428" t="s">
        <v>114</v>
      </c>
      <c r="H99" s="425" t="s">
        <v>137</v>
      </c>
      <c r="I99" s="383"/>
      <c r="J99" s="383"/>
      <c r="K99" s="383"/>
      <c r="L99" s="427"/>
    </row>
    <row r="100" spans="1:12" ht="19.5" customHeight="1">
      <c r="A100" s="384" t="s">
        <v>115</v>
      </c>
      <c r="B100" s="425" t="s">
        <v>123</v>
      </c>
      <c r="C100" s="386"/>
      <c r="D100" s="426"/>
      <c r="E100" s="426"/>
      <c r="F100" s="427"/>
      <c r="G100" s="428" t="s">
        <v>115</v>
      </c>
      <c r="H100" s="425" t="s">
        <v>138</v>
      </c>
      <c r="I100" s="383"/>
      <c r="J100" s="383"/>
      <c r="K100" s="383"/>
      <c r="L100" s="427"/>
    </row>
    <row r="101" spans="1:12" ht="28.5">
      <c r="A101" s="384" t="s">
        <v>116</v>
      </c>
      <c r="B101" s="425" t="s">
        <v>124</v>
      </c>
      <c r="C101" s="386">
        <f>+'3.sz.mell_2020.fő'!C142</f>
        <v>203645993</v>
      </c>
      <c r="D101" s="426">
        <f>+'3.sz.mell_2020.fő'!D142</f>
        <v>158093803</v>
      </c>
      <c r="E101" s="426">
        <f>+'3.sz.mell_2020.fő'!E142</f>
        <v>158093803</v>
      </c>
      <c r="F101" s="427">
        <f>+E101/D101</f>
        <v>1</v>
      </c>
      <c r="G101" s="428" t="s">
        <v>116</v>
      </c>
      <c r="H101" s="425" t="s">
        <v>218</v>
      </c>
      <c r="I101" s="383"/>
      <c r="J101" s="383"/>
      <c r="K101" s="383"/>
      <c r="L101" s="427"/>
    </row>
    <row r="102" spans="1:12" ht="28.5">
      <c r="A102" s="384" t="s">
        <v>117</v>
      </c>
      <c r="B102" s="389" t="s">
        <v>125</v>
      </c>
      <c r="C102" s="386"/>
      <c r="D102" s="386"/>
      <c r="E102" s="386"/>
      <c r="F102" s="387"/>
      <c r="G102" s="393" t="s">
        <v>117</v>
      </c>
      <c r="H102" s="425" t="s">
        <v>139</v>
      </c>
      <c r="I102" s="395">
        <f>+'3.sz.mell_2020.fő'!I143</f>
        <v>219327580</v>
      </c>
      <c r="J102" s="395">
        <f>+'3.sz.mell_2020.fő'!J143</f>
        <v>247674361</v>
      </c>
      <c r="K102" s="395">
        <f>+'3.sz.mell_2020.fő'!K143</f>
        <v>170138147</v>
      </c>
      <c r="L102" s="387">
        <f>+K102/J102</f>
        <v>0.6869429129162061</v>
      </c>
    </row>
    <row r="103" spans="1:15" ht="19.5" customHeight="1" thickBot="1">
      <c r="A103" s="475" t="s">
        <v>213</v>
      </c>
      <c r="B103" s="477" t="s">
        <v>214</v>
      </c>
      <c r="C103" s="479"/>
      <c r="D103" s="479">
        <f>+'3.sz.mell_2020.fő'!D144</f>
        <v>11220000</v>
      </c>
      <c r="E103" s="479">
        <f>+'3.sz.mell_2020.fő'!E144</f>
        <v>11220000</v>
      </c>
      <c r="F103" s="474">
        <f>+E103/D103</f>
        <v>1</v>
      </c>
      <c r="G103" s="476" t="s">
        <v>213</v>
      </c>
      <c r="H103" s="477" t="s">
        <v>214</v>
      </c>
      <c r="I103" s="478">
        <f>+'3.sz.mell_2020.fő'!I144</f>
        <v>11220000</v>
      </c>
      <c r="J103" s="478">
        <f>+'3.sz.mell_2020.fő'!J144</f>
        <v>11220000</v>
      </c>
      <c r="K103" s="478">
        <f>+'3.sz.mell_2020.fő'!K144</f>
        <v>11220000</v>
      </c>
      <c r="L103" s="474">
        <f>+K103/J103</f>
        <v>1</v>
      </c>
      <c r="O103" s="441"/>
    </row>
    <row r="104" spans="1:15" ht="19.5" customHeight="1" thickBot="1">
      <c r="A104" s="440"/>
      <c r="B104" s="368" t="s">
        <v>148</v>
      </c>
      <c r="C104" s="374">
        <f>+C58+C95</f>
        <v>662561088</v>
      </c>
      <c r="D104" s="374">
        <f>+D58+D95</f>
        <v>733347094</v>
      </c>
      <c r="E104" s="374">
        <f>+E58+E95</f>
        <v>658058660</v>
      </c>
      <c r="F104" s="375">
        <f>+E104/D104</f>
        <v>0.8973358800819083</v>
      </c>
      <c r="G104" s="440"/>
      <c r="H104" s="368" t="s">
        <v>149</v>
      </c>
      <c r="I104" s="374">
        <f>+I58+I95</f>
        <v>662561088</v>
      </c>
      <c r="J104" s="374">
        <f>+J58+J95</f>
        <v>733347094</v>
      </c>
      <c r="K104" s="374">
        <f>+K58+K95</f>
        <v>446302851</v>
      </c>
      <c r="L104" s="375">
        <f>+K104/J104</f>
        <v>0.6085833770277407</v>
      </c>
      <c r="M104" s="441">
        <f>C104-I104</f>
        <v>0</v>
      </c>
      <c r="N104" s="441">
        <f>D104-J104</f>
        <v>0</v>
      </c>
      <c r="O104" s="441"/>
    </row>
    <row r="105" ht="45.75" customHeight="1"/>
    <row r="106" spans="8:13" ht="19.5" customHeight="1">
      <c r="H106" s="714" t="s">
        <v>911</v>
      </c>
      <c r="I106" s="714"/>
      <c r="J106" s="714"/>
      <c r="K106" s="714"/>
      <c r="L106" s="714"/>
      <c r="M106" s="441"/>
    </row>
    <row r="107" spans="1:12" ht="19.5" customHeight="1">
      <c r="A107" s="712" t="s">
        <v>922</v>
      </c>
      <c r="B107" s="712"/>
      <c r="C107" s="712"/>
      <c r="D107" s="712"/>
      <c r="E107" s="712"/>
      <c r="F107" s="712"/>
      <c r="G107" s="712"/>
      <c r="H107" s="712"/>
      <c r="I107" s="712"/>
      <c r="J107" s="712"/>
      <c r="K107" s="712"/>
      <c r="L107" s="712"/>
    </row>
    <row r="108" spans="8:12" ht="19.5" customHeight="1" thickBot="1">
      <c r="H108" s="713"/>
      <c r="I108" s="713"/>
      <c r="J108" s="713"/>
      <c r="L108" s="467" t="s">
        <v>215</v>
      </c>
    </row>
    <row r="109" spans="1:12" ht="30.75" thickBot="1">
      <c r="A109" s="367"/>
      <c r="B109" s="368" t="s">
        <v>104</v>
      </c>
      <c r="C109" s="369" t="s">
        <v>305</v>
      </c>
      <c r="D109" s="369" t="s">
        <v>843</v>
      </c>
      <c r="E109" s="369" t="s">
        <v>303</v>
      </c>
      <c r="F109" s="370" t="s">
        <v>304</v>
      </c>
      <c r="G109" s="371"/>
      <c r="H109" s="368" t="s">
        <v>105</v>
      </c>
      <c r="I109" s="369" t="str">
        <f>C109</f>
        <v>Eredeti előirányzat </v>
      </c>
      <c r="J109" s="369" t="str">
        <f>D109</f>
        <v>Módosított előirányzta V.</v>
      </c>
      <c r="K109" s="369" t="s">
        <v>303</v>
      </c>
      <c r="L109" s="370" t="s">
        <v>304</v>
      </c>
    </row>
    <row r="110" spans="1:12" ht="19.5" customHeight="1" thickBot="1">
      <c r="A110" s="367"/>
      <c r="B110" s="372" t="s">
        <v>155</v>
      </c>
      <c r="C110" s="373">
        <f>+C111+C124+C132+C143</f>
        <v>18393765</v>
      </c>
      <c r="D110" s="374">
        <f>+D111+D124+D132+D143</f>
        <v>112684916</v>
      </c>
      <c r="E110" s="374">
        <f>+E111+E124+E132+E143</f>
        <v>66226730</v>
      </c>
      <c r="F110" s="375">
        <f>+E110/D110</f>
        <v>0.5877160169334466</v>
      </c>
      <c r="G110" s="371"/>
      <c r="H110" s="372" t="s">
        <v>156</v>
      </c>
      <c r="I110" s="373">
        <f>SUM(I111:I115)</f>
        <v>536373500</v>
      </c>
      <c r="J110" s="373">
        <f>SUM(J111:J115)</f>
        <v>597551904</v>
      </c>
      <c r="K110" s="373">
        <f>SUM(K111:K115)</f>
        <v>275641250</v>
      </c>
      <c r="L110" s="375">
        <f>+K110/J110</f>
        <v>0.4612841966611824</v>
      </c>
    </row>
    <row r="111" spans="1:12" ht="19.5" customHeight="1">
      <c r="A111" s="377" t="s">
        <v>23</v>
      </c>
      <c r="B111" s="378" t="s">
        <v>157</v>
      </c>
      <c r="C111" s="379">
        <f>+C112+C119+C120+C121+C122+C123</f>
        <v>10293765</v>
      </c>
      <c r="D111" s="379">
        <f>+D112+D119+D120+D121+D122+D123</f>
        <v>104384669</v>
      </c>
      <c r="E111" s="379">
        <f>+E112+E119+E120+E121+E122+E123</f>
        <v>57948064</v>
      </c>
      <c r="F111" s="380">
        <f>+E111/D111</f>
        <v>0.555139605797859</v>
      </c>
      <c r="G111" s="381" t="s">
        <v>23</v>
      </c>
      <c r="H111" s="382" t="s">
        <v>80</v>
      </c>
      <c r="I111" s="383">
        <f>+'3.sz.mell_2020.fő'!I160</f>
        <v>266406681</v>
      </c>
      <c r="J111" s="383">
        <f>+'3.sz.mell_2020.fő'!J160</f>
        <v>330964764</v>
      </c>
      <c r="K111" s="383">
        <f>+'3.sz.mell_2020.fő'!K160</f>
        <v>176819895</v>
      </c>
      <c r="L111" s="380">
        <f>+K111/J111</f>
        <v>0.5342559517906867</v>
      </c>
    </row>
    <row r="112" spans="1:12" ht="19.5" customHeight="1">
      <c r="A112" s="384" t="s">
        <v>111</v>
      </c>
      <c r="B112" s="385" t="s">
        <v>158</v>
      </c>
      <c r="C112" s="386"/>
      <c r="D112" s="386"/>
      <c r="E112" s="386"/>
      <c r="F112" s="387"/>
      <c r="G112" s="384" t="s">
        <v>45</v>
      </c>
      <c r="H112" s="388" t="s">
        <v>147</v>
      </c>
      <c r="I112" s="383">
        <f>+'3.sz.mell_2020.fő'!I161</f>
        <v>56259036</v>
      </c>
      <c r="J112" s="383">
        <f>+'3.sz.mell_2020.fő'!J161</f>
        <v>64739706</v>
      </c>
      <c r="K112" s="383">
        <f>+'3.sz.mell_2020.fő'!K161</f>
        <v>29956891</v>
      </c>
      <c r="L112" s="387">
        <f>+K112/J112</f>
        <v>0.46272825211779617</v>
      </c>
    </row>
    <row r="113" spans="1:12" ht="19.5" customHeight="1">
      <c r="A113" s="384"/>
      <c r="B113" s="389" t="s">
        <v>159</v>
      </c>
      <c r="C113" s="386"/>
      <c r="D113" s="386"/>
      <c r="E113" s="386"/>
      <c r="F113" s="387"/>
      <c r="G113" s="384" t="s">
        <v>56</v>
      </c>
      <c r="H113" s="388" t="s">
        <v>83</v>
      </c>
      <c r="I113" s="383">
        <f>+'3.sz.mell_2020.fő'!I162</f>
        <v>158130927</v>
      </c>
      <c r="J113" s="383">
        <f>+'3.sz.mell_2020.fő'!J162</f>
        <v>140195645</v>
      </c>
      <c r="K113" s="383">
        <f>+'3.sz.mell_2020.fő'!K162</f>
        <v>59594888</v>
      </c>
      <c r="L113" s="387">
        <f>+K113/J113</f>
        <v>0.4250837320945312</v>
      </c>
    </row>
    <row r="114" spans="1:12" ht="19.5" customHeight="1">
      <c r="A114" s="384"/>
      <c r="B114" s="389" t="s">
        <v>160</v>
      </c>
      <c r="C114" s="386"/>
      <c r="D114" s="386"/>
      <c r="E114" s="386"/>
      <c r="F114" s="387"/>
      <c r="G114" s="384" t="s">
        <v>64</v>
      </c>
      <c r="H114" s="388" t="s">
        <v>84</v>
      </c>
      <c r="I114" s="383"/>
      <c r="J114" s="383"/>
      <c r="K114" s="383"/>
      <c r="L114" s="387"/>
    </row>
    <row r="115" spans="1:12" ht="28.5">
      <c r="A115" s="384"/>
      <c r="B115" s="389" t="s">
        <v>161</v>
      </c>
      <c r="C115" s="386"/>
      <c r="D115" s="386"/>
      <c r="E115" s="386"/>
      <c r="F115" s="387"/>
      <c r="G115" s="384" t="s">
        <v>100</v>
      </c>
      <c r="H115" s="388" t="s">
        <v>217</v>
      </c>
      <c r="I115" s="383">
        <f>+'3.sz.mell_2020.fő'!I164</f>
        <v>55576856</v>
      </c>
      <c r="J115" s="383">
        <f>+'3.sz.mell_2020.fő'!J164</f>
        <v>61651789</v>
      </c>
      <c r="K115" s="383">
        <f>+'3.sz.mell_2020.fő'!K164</f>
        <v>9269576</v>
      </c>
      <c r="L115" s="387">
        <f>+K115/J115</f>
        <v>0.1503537229065648</v>
      </c>
    </row>
    <row r="116" spans="1:12" ht="19.5" customHeight="1">
      <c r="A116" s="384"/>
      <c r="B116" s="389" t="s">
        <v>162</v>
      </c>
      <c r="C116" s="386"/>
      <c r="D116" s="386"/>
      <c r="E116" s="386"/>
      <c r="F116" s="387"/>
      <c r="G116" s="384"/>
      <c r="H116" s="390"/>
      <c r="I116" s="383"/>
      <c r="J116" s="383"/>
      <c r="K116" s="383"/>
      <c r="L116" s="387"/>
    </row>
    <row r="117" spans="1:12" ht="19.5" customHeight="1">
      <c r="A117" s="384"/>
      <c r="B117" s="389" t="s">
        <v>163</v>
      </c>
      <c r="C117" s="386"/>
      <c r="D117" s="386"/>
      <c r="E117" s="386"/>
      <c r="F117" s="387"/>
      <c r="G117" s="384"/>
      <c r="H117" s="384"/>
      <c r="I117" s="383"/>
      <c r="J117" s="383"/>
      <c r="K117" s="383"/>
      <c r="L117" s="387"/>
    </row>
    <row r="118" spans="1:12" ht="19.5" customHeight="1">
      <c r="A118" s="384"/>
      <c r="B118" s="389" t="s">
        <v>164</v>
      </c>
      <c r="C118" s="386"/>
      <c r="D118" s="386"/>
      <c r="E118" s="386"/>
      <c r="F118" s="387"/>
      <c r="G118" s="384"/>
      <c r="H118" s="384"/>
      <c r="I118" s="391"/>
      <c r="J118" s="391"/>
      <c r="K118" s="391"/>
      <c r="L118" s="387"/>
    </row>
    <row r="119" spans="1:12" ht="19.5" customHeight="1">
      <c r="A119" s="384" t="s">
        <v>112</v>
      </c>
      <c r="B119" s="392" t="s">
        <v>165</v>
      </c>
      <c r="C119" s="386"/>
      <c r="D119" s="386"/>
      <c r="E119" s="386"/>
      <c r="F119" s="387"/>
      <c r="G119" s="384"/>
      <c r="H119" s="384"/>
      <c r="I119" s="391"/>
      <c r="J119" s="391"/>
      <c r="K119" s="391"/>
      <c r="L119" s="387"/>
    </row>
    <row r="120" spans="1:12" ht="30">
      <c r="A120" s="384" t="s">
        <v>113</v>
      </c>
      <c r="B120" s="392" t="s">
        <v>166</v>
      </c>
      <c r="C120" s="386"/>
      <c r="D120" s="386"/>
      <c r="E120" s="386"/>
      <c r="F120" s="387"/>
      <c r="G120" s="384"/>
      <c r="H120" s="384"/>
      <c r="I120" s="391"/>
      <c r="J120" s="391"/>
      <c r="K120" s="391"/>
      <c r="L120" s="387"/>
    </row>
    <row r="121" spans="1:12" ht="30">
      <c r="A121" s="384" t="s">
        <v>114</v>
      </c>
      <c r="B121" s="392" t="s">
        <v>167</v>
      </c>
      <c r="C121" s="386"/>
      <c r="D121" s="386"/>
      <c r="E121" s="386"/>
      <c r="F121" s="387"/>
      <c r="G121" s="384"/>
      <c r="H121" s="384"/>
      <c r="I121" s="391"/>
      <c r="J121" s="391"/>
      <c r="K121" s="391"/>
      <c r="L121" s="387"/>
    </row>
    <row r="122" spans="1:12" ht="30">
      <c r="A122" s="384" t="s">
        <v>115</v>
      </c>
      <c r="B122" s="392" t="s">
        <v>168</v>
      </c>
      <c r="C122" s="386"/>
      <c r="D122" s="386"/>
      <c r="E122" s="386"/>
      <c r="F122" s="387"/>
      <c r="G122" s="384"/>
      <c r="H122" s="384"/>
      <c r="I122" s="391"/>
      <c r="J122" s="391"/>
      <c r="K122" s="391"/>
      <c r="L122" s="387"/>
    </row>
    <row r="123" spans="1:12" ht="15">
      <c r="A123" s="384" t="s">
        <v>116</v>
      </c>
      <c r="B123" s="392" t="s">
        <v>169</v>
      </c>
      <c r="C123" s="386">
        <f>+'3.sz.mell_2020.fő'!C172</f>
        <v>10293765</v>
      </c>
      <c r="D123" s="386">
        <f>+'3.sz.mell_2020.fő'!D172</f>
        <v>104384669</v>
      </c>
      <c r="E123" s="386">
        <f>+'3.sz.mell_2020.fő'!E172</f>
        <v>57948064</v>
      </c>
      <c r="F123" s="387">
        <f>+E123/D123</f>
        <v>0.555139605797859</v>
      </c>
      <c r="G123" s="384"/>
      <c r="H123" s="384"/>
      <c r="I123" s="391"/>
      <c r="J123" s="391"/>
      <c r="K123" s="391"/>
      <c r="L123" s="387"/>
    </row>
    <row r="124" spans="1:12" ht="19.5" customHeight="1">
      <c r="A124" s="393" t="s">
        <v>45</v>
      </c>
      <c r="B124" s="394" t="s">
        <v>9</v>
      </c>
      <c r="C124" s="395"/>
      <c r="D124" s="395"/>
      <c r="E124" s="395"/>
      <c r="F124" s="396"/>
      <c r="G124" s="397"/>
      <c r="H124" s="384"/>
      <c r="I124" s="391"/>
      <c r="J124" s="391"/>
      <c r="K124" s="391"/>
      <c r="L124" s="396"/>
    </row>
    <row r="125" spans="1:12" ht="19.5" customHeight="1">
      <c r="A125" s="393"/>
      <c r="B125" s="397" t="s">
        <v>140</v>
      </c>
      <c r="C125" s="386"/>
      <c r="D125" s="386"/>
      <c r="E125" s="386"/>
      <c r="F125" s="387"/>
      <c r="G125" s="397"/>
      <c r="H125" s="384"/>
      <c r="I125" s="391"/>
      <c r="J125" s="391"/>
      <c r="K125" s="391"/>
      <c r="L125" s="387"/>
    </row>
    <row r="126" spans="1:12" ht="19.5" customHeight="1">
      <c r="A126" s="393"/>
      <c r="B126" s="397" t="s">
        <v>141</v>
      </c>
      <c r="C126" s="386"/>
      <c r="D126" s="386"/>
      <c r="E126" s="386"/>
      <c r="F126" s="387"/>
      <c r="G126" s="397"/>
      <c r="H126" s="384"/>
      <c r="I126" s="391"/>
      <c r="J126" s="391"/>
      <c r="K126" s="391"/>
      <c r="L126" s="387"/>
    </row>
    <row r="127" spans="1:12" ht="19.5" customHeight="1">
      <c r="A127" s="393"/>
      <c r="B127" s="397" t="s">
        <v>142</v>
      </c>
      <c r="C127" s="386"/>
      <c r="D127" s="386"/>
      <c r="E127" s="386"/>
      <c r="F127" s="387"/>
      <c r="G127" s="397"/>
      <c r="H127" s="384"/>
      <c r="I127" s="391"/>
      <c r="J127" s="391"/>
      <c r="K127" s="391"/>
      <c r="L127" s="387"/>
    </row>
    <row r="128" spans="1:12" ht="19.5" customHeight="1">
      <c r="A128" s="393"/>
      <c r="B128" s="397" t="s">
        <v>143</v>
      </c>
      <c r="C128" s="386"/>
      <c r="D128" s="386"/>
      <c r="E128" s="386"/>
      <c r="F128" s="387"/>
      <c r="G128" s="397"/>
      <c r="H128" s="384"/>
      <c r="I128" s="391"/>
      <c r="J128" s="391"/>
      <c r="K128" s="391"/>
      <c r="L128" s="387"/>
    </row>
    <row r="129" spans="1:12" ht="19.5" customHeight="1">
      <c r="A129" s="393"/>
      <c r="B129" s="397" t="s">
        <v>144</v>
      </c>
      <c r="C129" s="386"/>
      <c r="D129" s="386"/>
      <c r="E129" s="386"/>
      <c r="F129" s="387"/>
      <c r="G129" s="397"/>
      <c r="H129" s="384"/>
      <c r="I129" s="391"/>
      <c r="J129" s="391"/>
      <c r="K129" s="391"/>
      <c r="L129" s="387"/>
    </row>
    <row r="130" spans="1:12" ht="19.5" customHeight="1">
      <c r="A130" s="393"/>
      <c r="B130" s="397" t="s">
        <v>145</v>
      </c>
      <c r="C130" s="386"/>
      <c r="D130" s="386"/>
      <c r="E130" s="386"/>
      <c r="F130" s="387"/>
      <c r="G130" s="397"/>
      <c r="H130" s="384"/>
      <c r="I130" s="391"/>
      <c r="J130" s="391"/>
      <c r="K130" s="391"/>
      <c r="L130" s="387"/>
    </row>
    <row r="131" spans="1:12" ht="19.5" customHeight="1">
      <c r="A131" s="393"/>
      <c r="B131" s="397" t="s">
        <v>146</v>
      </c>
      <c r="C131" s="386"/>
      <c r="D131" s="386"/>
      <c r="E131" s="386"/>
      <c r="F131" s="387"/>
      <c r="G131" s="397"/>
      <c r="H131" s="384"/>
      <c r="I131" s="391"/>
      <c r="J131" s="391"/>
      <c r="K131" s="391"/>
      <c r="L131" s="387"/>
    </row>
    <row r="132" spans="1:12" ht="19.5" customHeight="1">
      <c r="A132" s="393" t="s">
        <v>56</v>
      </c>
      <c r="B132" s="394" t="s">
        <v>170</v>
      </c>
      <c r="C132" s="386">
        <f>SUM(C133:C142)</f>
        <v>8100000</v>
      </c>
      <c r="D132" s="386">
        <f>SUM(D133:D142)</f>
        <v>8300247</v>
      </c>
      <c r="E132" s="386">
        <f>SUM(E133:E142)</f>
        <v>8278666</v>
      </c>
      <c r="F132" s="387">
        <f>+E132/D132</f>
        <v>0.9973999568928491</v>
      </c>
      <c r="G132" s="397"/>
      <c r="H132" s="384"/>
      <c r="I132" s="391"/>
      <c r="J132" s="391"/>
      <c r="K132" s="391"/>
      <c r="L132" s="387"/>
    </row>
    <row r="133" spans="1:12" ht="19.5" customHeight="1">
      <c r="A133" s="393"/>
      <c r="B133" s="389" t="s">
        <v>171</v>
      </c>
      <c r="C133" s="386"/>
      <c r="D133" s="386"/>
      <c r="E133" s="386"/>
      <c r="F133" s="387"/>
      <c r="G133" s="397"/>
      <c r="H133" s="384"/>
      <c r="I133" s="391"/>
      <c r="J133" s="391"/>
      <c r="K133" s="391"/>
      <c r="L133" s="387"/>
    </row>
    <row r="134" spans="1:12" ht="19.5" customHeight="1">
      <c r="A134" s="393"/>
      <c r="B134" s="389" t="s">
        <v>172</v>
      </c>
      <c r="C134" s="386"/>
      <c r="D134" s="386">
        <f>+'3.sz.mell_2020.fő'!D183</f>
        <v>177800</v>
      </c>
      <c r="E134" s="386">
        <f>+'3.sz.mell_2020.fő'!E183</f>
        <v>177800</v>
      </c>
      <c r="F134" s="387"/>
      <c r="G134" s="397"/>
      <c r="H134" s="384"/>
      <c r="I134" s="391"/>
      <c r="J134" s="391"/>
      <c r="K134" s="391"/>
      <c r="L134" s="387"/>
    </row>
    <row r="135" spans="1:12" ht="19.5" customHeight="1">
      <c r="A135" s="393"/>
      <c r="B135" s="389" t="s">
        <v>173</v>
      </c>
      <c r="C135" s="386">
        <f>+'3.sz.mell_2020.fő'!C184</f>
        <v>8100000</v>
      </c>
      <c r="D135" s="386">
        <f>+'3.sz.mell_2020.fő'!D184</f>
        <v>8119091</v>
      </c>
      <c r="E135" s="386">
        <f>+'3.sz.mell_2020.fő'!E184</f>
        <v>8097510</v>
      </c>
      <c r="F135" s="387">
        <f>+E135/D135</f>
        <v>0.9973419438210509</v>
      </c>
      <c r="G135" s="397"/>
      <c r="H135" s="384"/>
      <c r="I135" s="391"/>
      <c r="J135" s="391"/>
      <c r="K135" s="391"/>
      <c r="L135" s="387"/>
    </row>
    <row r="136" spans="1:12" ht="19.5" customHeight="1">
      <c r="A136" s="393"/>
      <c r="B136" s="389" t="s">
        <v>174</v>
      </c>
      <c r="C136" s="386"/>
      <c r="D136" s="386"/>
      <c r="E136" s="386"/>
      <c r="F136" s="387"/>
      <c r="G136" s="397"/>
      <c r="H136" s="384"/>
      <c r="I136" s="391"/>
      <c r="J136" s="391"/>
      <c r="K136" s="391"/>
      <c r="L136" s="387"/>
    </row>
    <row r="137" spans="1:12" ht="19.5" customHeight="1">
      <c r="A137" s="393"/>
      <c r="B137" s="389" t="s">
        <v>175</v>
      </c>
      <c r="C137" s="386"/>
      <c r="D137" s="386"/>
      <c r="E137" s="386"/>
      <c r="F137" s="387"/>
      <c r="G137" s="397"/>
      <c r="H137" s="384"/>
      <c r="I137" s="391"/>
      <c r="J137" s="391"/>
      <c r="K137" s="391"/>
      <c r="L137" s="387"/>
    </row>
    <row r="138" spans="1:12" ht="19.5" customHeight="1">
      <c r="A138" s="393"/>
      <c r="B138" s="389" t="s">
        <v>176</v>
      </c>
      <c r="C138" s="386"/>
      <c r="D138" s="386"/>
      <c r="E138" s="386"/>
      <c r="F138" s="387"/>
      <c r="G138" s="397"/>
      <c r="H138" s="384"/>
      <c r="I138" s="391"/>
      <c r="J138" s="391"/>
      <c r="K138" s="391"/>
      <c r="L138" s="387"/>
    </row>
    <row r="139" spans="1:12" ht="19.5" customHeight="1">
      <c r="A139" s="393"/>
      <c r="B139" s="389" t="s">
        <v>177</v>
      </c>
      <c r="C139" s="386"/>
      <c r="D139" s="386"/>
      <c r="E139" s="386"/>
      <c r="F139" s="387"/>
      <c r="G139" s="397"/>
      <c r="H139" s="384"/>
      <c r="I139" s="391"/>
      <c r="J139" s="391"/>
      <c r="K139" s="391"/>
      <c r="L139" s="387"/>
    </row>
    <row r="140" spans="1:12" ht="19.5" customHeight="1">
      <c r="A140" s="393"/>
      <c r="B140" s="389" t="s">
        <v>178</v>
      </c>
      <c r="C140" s="386"/>
      <c r="D140" s="386"/>
      <c r="E140" s="386"/>
      <c r="F140" s="387"/>
      <c r="G140" s="397"/>
      <c r="H140" s="384"/>
      <c r="I140" s="391"/>
      <c r="J140" s="391"/>
      <c r="K140" s="391"/>
      <c r="L140" s="387"/>
    </row>
    <row r="141" spans="1:12" ht="19.5" customHeight="1">
      <c r="A141" s="393"/>
      <c r="B141" s="389" t="s">
        <v>179</v>
      </c>
      <c r="C141" s="386"/>
      <c r="D141" s="386"/>
      <c r="E141" s="386"/>
      <c r="F141" s="387"/>
      <c r="G141" s="397"/>
      <c r="H141" s="384"/>
      <c r="I141" s="391"/>
      <c r="J141" s="391"/>
      <c r="K141" s="391"/>
      <c r="L141" s="387"/>
    </row>
    <row r="142" spans="1:12" ht="19.5" customHeight="1">
      <c r="A142" s="393"/>
      <c r="B142" s="389" t="s">
        <v>180</v>
      </c>
      <c r="C142" s="386">
        <f>+'3.sz.mell_2020.fő'!C191</f>
        <v>0</v>
      </c>
      <c r="D142" s="386">
        <f>+'3.sz.mell_2020.fő'!D191</f>
        <v>3356</v>
      </c>
      <c r="E142" s="386">
        <f>+'3.sz.mell_2020.fő'!E191</f>
        <v>3356</v>
      </c>
      <c r="F142" s="387">
        <f>+E142/D142</f>
        <v>1</v>
      </c>
      <c r="G142" s="397"/>
      <c r="H142" s="384"/>
      <c r="I142" s="391"/>
      <c r="J142" s="391"/>
      <c r="K142" s="391"/>
      <c r="L142" s="387"/>
    </row>
    <row r="143" spans="1:12" ht="19.5" customHeight="1">
      <c r="A143" s="393" t="s">
        <v>64</v>
      </c>
      <c r="B143" s="394" t="s">
        <v>181</v>
      </c>
      <c r="C143" s="386"/>
      <c r="D143" s="386"/>
      <c r="E143" s="386"/>
      <c r="F143" s="387"/>
      <c r="G143" s="397"/>
      <c r="H143" s="384"/>
      <c r="I143" s="391"/>
      <c r="J143" s="391"/>
      <c r="K143" s="391"/>
      <c r="L143" s="387"/>
    </row>
    <row r="144" spans="1:12" ht="28.5">
      <c r="A144" s="397"/>
      <c r="B144" s="389" t="s">
        <v>182</v>
      </c>
      <c r="C144" s="386"/>
      <c r="D144" s="386"/>
      <c r="E144" s="386"/>
      <c r="F144" s="387"/>
      <c r="G144" s="397"/>
      <c r="H144" s="384"/>
      <c r="I144" s="391"/>
      <c r="J144" s="391"/>
      <c r="K144" s="391"/>
      <c r="L144" s="387"/>
    </row>
    <row r="145" spans="1:12" ht="28.5">
      <c r="A145" s="397"/>
      <c r="B145" s="389" t="s">
        <v>183</v>
      </c>
      <c r="C145" s="386"/>
      <c r="D145" s="386"/>
      <c r="E145" s="386"/>
      <c r="F145" s="387"/>
      <c r="G145" s="397"/>
      <c r="H145" s="384"/>
      <c r="I145" s="391"/>
      <c r="J145" s="391"/>
      <c r="K145" s="391"/>
      <c r="L145" s="387"/>
    </row>
    <row r="146" spans="1:12" ht="19.5" customHeight="1" thickBot="1">
      <c r="A146" s="398"/>
      <c r="B146" s="399" t="s">
        <v>184</v>
      </c>
      <c r="C146" s="386"/>
      <c r="D146" s="400"/>
      <c r="E146" s="400"/>
      <c r="F146" s="401"/>
      <c r="G146" s="398"/>
      <c r="H146" s="402"/>
      <c r="I146" s="403"/>
      <c r="J146" s="403"/>
      <c r="K146" s="403"/>
      <c r="L146" s="401"/>
    </row>
    <row r="147" spans="1:12" ht="19.5" customHeight="1" thickBot="1">
      <c r="A147" s="368"/>
      <c r="B147" s="372" t="s">
        <v>205</v>
      </c>
      <c r="C147" s="417">
        <f>SUM(C148:C154)</f>
        <v>517979735</v>
      </c>
      <c r="D147" s="417">
        <f>SUM(D148:D154)</f>
        <v>484866988</v>
      </c>
      <c r="E147" s="417">
        <f>SUM(E148:E154)</f>
        <v>407330774</v>
      </c>
      <c r="F147" s="418">
        <f>+E147/D147</f>
        <v>0.840087661319603</v>
      </c>
      <c r="G147" s="368"/>
      <c r="H147" s="419" t="s">
        <v>206</v>
      </c>
      <c r="I147" s="420"/>
      <c r="J147" s="420"/>
      <c r="K147" s="420"/>
      <c r="L147" s="418"/>
    </row>
    <row r="148" spans="1:12" ht="42.75">
      <c r="A148" s="381" t="s">
        <v>111</v>
      </c>
      <c r="B148" s="421" t="s">
        <v>128</v>
      </c>
      <c r="C148" s="386"/>
      <c r="D148" s="422"/>
      <c r="E148" s="422"/>
      <c r="F148" s="423"/>
      <c r="G148" s="424" t="s">
        <v>111</v>
      </c>
      <c r="H148" s="421" t="s">
        <v>134</v>
      </c>
      <c r="I148" s="383"/>
      <c r="J148" s="383"/>
      <c r="K148" s="383"/>
      <c r="L148" s="423"/>
    </row>
    <row r="149" spans="1:12" ht="19.5" customHeight="1">
      <c r="A149" s="384" t="s">
        <v>112</v>
      </c>
      <c r="B149" s="425" t="s">
        <v>120</v>
      </c>
      <c r="C149" s="386"/>
      <c r="D149" s="426"/>
      <c r="E149" s="426"/>
      <c r="F149" s="427"/>
      <c r="G149" s="428" t="s">
        <v>112</v>
      </c>
      <c r="H149" s="425" t="s">
        <v>135</v>
      </c>
      <c r="I149" s="383"/>
      <c r="J149" s="383"/>
      <c r="K149" s="383"/>
      <c r="L149" s="427"/>
    </row>
    <row r="150" spans="1:12" ht="19.5" customHeight="1">
      <c r="A150" s="384" t="s">
        <v>113</v>
      </c>
      <c r="B150" s="425" t="s">
        <v>121</v>
      </c>
      <c r="C150" s="386"/>
      <c r="D150" s="426"/>
      <c r="E150" s="426"/>
      <c r="F150" s="427"/>
      <c r="G150" s="428" t="s">
        <v>113</v>
      </c>
      <c r="H150" s="425" t="s">
        <v>136</v>
      </c>
      <c r="I150" s="383"/>
      <c r="J150" s="383"/>
      <c r="K150" s="383"/>
      <c r="L150" s="427"/>
    </row>
    <row r="151" spans="1:12" ht="19.5" customHeight="1">
      <c r="A151" s="384" t="s">
        <v>114</v>
      </c>
      <c r="B151" s="425" t="s">
        <v>122</v>
      </c>
      <c r="C151" s="386"/>
      <c r="D151" s="426"/>
      <c r="E151" s="426"/>
      <c r="F151" s="427"/>
      <c r="G151" s="428" t="s">
        <v>114</v>
      </c>
      <c r="H151" s="425" t="s">
        <v>137</v>
      </c>
      <c r="I151" s="383"/>
      <c r="J151" s="383"/>
      <c r="K151" s="383"/>
      <c r="L151" s="427"/>
    </row>
    <row r="152" spans="1:12" ht="19.5" customHeight="1">
      <c r="A152" s="384" t="s">
        <v>115</v>
      </c>
      <c r="B152" s="425" t="s">
        <v>123</v>
      </c>
      <c r="C152" s="386"/>
      <c r="D152" s="426"/>
      <c r="E152" s="426"/>
      <c r="F152" s="427"/>
      <c r="G152" s="428" t="s">
        <v>115</v>
      </c>
      <c r="H152" s="425" t="s">
        <v>138</v>
      </c>
      <c r="I152" s="383"/>
      <c r="J152" s="383"/>
      <c r="K152" s="383"/>
      <c r="L152" s="427"/>
    </row>
    <row r="153" spans="1:12" ht="28.5">
      <c r="A153" s="384" t="s">
        <v>116</v>
      </c>
      <c r="B153" s="425" t="s">
        <v>124</v>
      </c>
      <c r="C153" s="386">
        <f>+'3.sz.mell_2020.fő'!C219</f>
        <v>298652155</v>
      </c>
      <c r="D153" s="426">
        <f>+'3.sz.mell_2020.fő'!D219</f>
        <v>237192627</v>
      </c>
      <c r="E153" s="426">
        <f>+'3.sz.mell_2020.fő'!E219</f>
        <v>237192627</v>
      </c>
      <c r="F153" s="427">
        <f>+E153/D153</f>
        <v>1</v>
      </c>
      <c r="G153" s="428" t="s">
        <v>116</v>
      </c>
      <c r="H153" s="425" t="s">
        <v>218</v>
      </c>
      <c r="I153" s="383"/>
      <c r="J153" s="383"/>
      <c r="K153" s="383"/>
      <c r="L153" s="427"/>
    </row>
    <row r="154" spans="1:12" ht="28.5">
      <c r="A154" s="384" t="s">
        <v>117</v>
      </c>
      <c r="B154" s="389" t="s">
        <v>125</v>
      </c>
      <c r="C154" s="386">
        <f>+'3.sz.mell_2020.fő'!C220</f>
        <v>219327580</v>
      </c>
      <c r="D154" s="386">
        <f>+'3.sz.mell_2020.fő'!D220</f>
        <v>247674361</v>
      </c>
      <c r="E154" s="386">
        <f>+'3.sz.mell_2020.fő'!E220</f>
        <v>170138147</v>
      </c>
      <c r="F154" s="387">
        <f>+E154/D154</f>
        <v>0.6869429129162061</v>
      </c>
      <c r="G154" s="393" t="s">
        <v>117</v>
      </c>
      <c r="H154" s="425" t="s">
        <v>139</v>
      </c>
      <c r="I154" s="395"/>
      <c r="J154" s="395"/>
      <c r="K154" s="395"/>
      <c r="L154" s="387"/>
    </row>
    <row r="155" spans="1:12" ht="19.5" customHeight="1" thickBot="1">
      <c r="A155" s="475"/>
      <c r="B155" s="477"/>
      <c r="C155" s="479"/>
      <c r="D155" s="479"/>
      <c r="E155" s="479"/>
      <c r="F155" s="474"/>
      <c r="G155" s="476" t="s">
        <v>213</v>
      </c>
      <c r="H155" s="477"/>
      <c r="I155" s="478"/>
      <c r="J155" s="478"/>
      <c r="K155" s="478"/>
      <c r="L155" s="474"/>
    </row>
    <row r="156" spans="1:15" ht="19.5" customHeight="1" thickBot="1">
      <c r="A156" s="440"/>
      <c r="B156" s="368" t="s">
        <v>148</v>
      </c>
      <c r="C156" s="374">
        <f>+C110+C147</f>
        <v>536373500</v>
      </c>
      <c r="D156" s="374">
        <f>+D110+D147</f>
        <v>597551904</v>
      </c>
      <c r="E156" s="374">
        <f>+E110+E147</f>
        <v>473557504</v>
      </c>
      <c r="F156" s="375">
        <f>+E156/D156</f>
        <v>0.7924960172162718</v>
      </c>
      <c r="G156" s="440"/>
      <c r="H156" s="368" t="s">
        <v>149</v>
      </c>
      <c r="I156" s="374">
        <f>+I110+I147</f>
        <v>536373500</v>
      </c>
      <c r="J156" s="374">
        <f>+J110+J147</f>
        <v>597551904</v>
      </c>
      <c r="K156" s="374">
        <f>+K110+K147</f>
        <v>275641250</v>
      </c>
      <c r="L156" s="375">
        <f>+K156/J156</f>
        <v>0.4612841966611824</v>
      </c>
      <c r="M156" s="441">
        <f>C156-I156</f>
        <v>0</v>
      </c>
      <c r="N156" s="441">
        <f>D156-J156</f>
        <v>0</v>
      </c>
      <c r="O156" s="441"/>
    </row>
  </sheetData>
  <sheetProtection/>
  <mergeCells count="6">
    <mergeCell ref="A55:L55"/>
    <mergeCell ref="A107:L107"/>
    <mergeCell ref="H108:J108"/>
    <mergeCell ref="H106:L106"/>
    <mergeCell ref="H54:L54"/>
    <mergeCell ref="A2:K2"/>
  </mergeCells>
  <printOptions horizontalCentered="1"/>
  <pageMargins left="0.2362204724409449" right="0.2362204724409449" top="0.35433070866141736" bottom="0.35433070866141736" header="0.31496062992125984" footer="0.31496062992125984"/>
  <pageSetup fitToHeight="3" fitToWidth="1" horizontalDpi="600" verticalDpi="600" orientation="landscape" paperSize="9" scale="48" r:id="rId1"/>
  <rowBreaks count="1" manualBreakCount="1">
    <brk id="5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92"/>
  <sheetViews>
    <sheetView view="pageBreakPreview" zoomScale="70" zoomScaleNormal="80" zoomScaleSheetLayoutView="70" zoomScalePageLayoutView="0" workbookViewId="0" topLeftCell="A79">
      <selection activeCell="C43" sqref="C43:E52"/>
    </sheetView>
  </sheetViews>
  <sheetFormatPr defaultColWidth="9.140625" defaultRowHeight="19.5" customHeight="1"/>
  <cols>
    <col min="1" max="1" width="6.7109375" style="361" customWidth="1"/>
    <col min="2" max="2" width="64.00390625" style="361" customWidth="1"/>
    <col min="3" max="5" width="16.57421875" style="361" customWidth="1"/>
    <col min="6" max="6" width="16.57421875" style="362" customWidth="1"/>
    <col min="7" max="7" width="6.7109375" style="361" customWidth="1"/>
    <col min="8" max="8" width="64.00390625" style="361" customWidth="1"/>
    <col min="9" max="9" width="20.140625" style="361" bestFit="1" customWidth="1"/>
    <col min="10" max="10" width="16.57421875" style="441" customWidth="1"/>
    <col min="11" max="11" width="16.57421875" style="361" customWidth="1"/>
    <col min="12" max="12" width="16.57421875" style="362" customWidth="1"/>
    <col min="13" max="13" width="13.28125" style="361" bestFit="1" customWidth="1"/>
    <col min="14" max="14" width="17.140625" style="361" customWidth="1"/>
    <col min="15" max="16384" width="9.140625" style="361" customWidth="1"/>
  </cols>
  <sheetData>
    <row r="1" spans="9:12" ht="19.5" customHeight="1">
      <c r="I1" s="480"/>
      <c r="J1" s="480" t="s">
        <v>914</v>
      </c>
      <c r="K1" s="480"/>
      <c r="L1" s="480"/>
    </row>
    <row r="2" spans="1:12" ht="19.5" customHeight="1">
      <c r="A2" s="712" t="s">
        <v>876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</row>
    <row r="3" spans="8:12" ht="19.5" customHeight="1" thickBot="1">
      <c r="H3" s="713"/>
      <c r="I3" s="713"/>
      <c r="J3" s="713"/>
      <c r="L3" s="467" t="s">
        <v>215</v>
      </c>
    </row>
    <row r="4" spans="1:12" ht="30.75" thickBot="1">
      <c r="A4" s="367"/>
      <c r="B4" s="368" t="s">
        <v>104</v>
      </c>
      <c r="C4" s="369" t="s">
        <v>305</v>
      </c>
      <c r="D4" s="369" t="s">
        <v>843</v>
      </c>
      <c r="E4" s="369" t="s">
        <v>303</v>
      </c>
      <c r="F4" s="370" t="s">
        <v>304</v>
      </c>
      <c r="G4" s="371"/>
      <c r="H4" s="368" t="s">
        <v>105</v>
      </c>
      <c r="I4" s="369" t="str">
        <f>C4</f>
        <v>Eredeti előirányzat </v>
      </c>
      <c r="J4" s="369" t="str">
        <f>D4</f>
        <v>Módosított előirányzta V.</v>
      </c>
      <c r="K4" s="369" t="s">
        <v>303</v>
      </c>
      <c r="L4" s="370" t="s">
        <v>304</v>
      </c>
    </row>
    <row r="5" spans="1:12" ht="19.5" customHeight="1" thickBot="1">
      <c r="A5" s="368"/>
      <c r="B5" s="372" t="s">
        <v>185</v>
      </c>
      <c r="C5" s="373">
        <f>+C6+C12+C18</f>
        <v>81052989</v>
      </c>
      <c r="D5" s="373">
        <f>+D6+D12+D18</f>
        <v>89554702</v>
      </c>
      <c r="E5" s="373">
        <f>+E6+E12+E18</f>
        <v>88335651</v>
      </c>
      <c r="F5" s="404">
        <f>+E5/D5</f>
        <v>0.9863876382504182</v>
      </c>
      <c r="G5" s="368"/>
      <c r="H5" s="372" t="s">
        <v>186</v>
      </c>
      <c r="I5" s="373">
        <f>SUM(I6:I8)</f>
        <v>184485867</v>
      </c>
      <c r="J5" s="373">
        <f>SUM(J6:J8)</f>
        <v>249259804</v>
      </c>
      <c r="K5" s="373">
        <f>SUM(K6:K8)</f>
        <v>151498358</v>
      </c>
      <c r="L5" s="404">
        <f>+K5/J5</f>
        <v>0.6077929757178177</v>
      </c>
    </row>
    <row r="6" spans="1:12" ht="19.5" customHeight="1">
      <c r="A6" s="405" t="s">
        <v>100</v>
      </c>
      <c r="B6" s="406" t="s">
        <v>187</v>
      </c>
      <c r="C6" s="407">
        <f>SUM(C7:C11)</f>
        <v>80952989</v>
      </c>
      <c r="D6" s="379">
        <f>SUM(D7:D11)</f>
        <v>89418702</v>
      </c>
      <c r="E6" s="379">
        <f>SUM(E7:E11)</f>
        <v>88279601</v>
      </c>
      <c r="F6" s="380">
        <f>+E6/D6</f>
        <v>0.9872610429974705</v>
      </c>
      <c r="G6" s="405" t="s">
        <v>188</v>
      </c>
      <c r="H6" s="408" t="s">
        <v>131</v>
      </c>
      <c r="I6" s="383">
        <f aca="true" t="shared" si="0" ref="I6:J8">+I37+I68</f>
        <v>183215867</v>
      </c>
      <c r="J6" s="383">
        <f t="shared" si="0"/>
        <v>248645647</v>
      </c>
      <c r="K6" s="383">
        <f>+K37+K68</f>
        <v>150884201</v>
      </c>
      <c r="L6" s="380">
        <f>+K6/J6</f>
        <v>0.6068242208157378</v>
      </c>
    </row>
    <row r="7" spans="1:12" ht="19.5" customHeight="1">
      <c r="A7" s="393"/>
      <c r="B7" s="389" t="s">
        <v>189</v>
      </c>
      <c r="C7" s="386"/>
      <c r="D7" s="379"/>
      <c r="E7" s="379"/>
      <c r="F7" s="380"/>
      <c r="G7" s="405" t="s">
        <v>190</v>
      </c>
      <c r="H7" s="409" t="s">
        <v>87</v>
      </c>
      <c r="I7" s="383">
        <f t="shared" si="0"/>
        <v>1270000</v>
      </c>
      <c r="J7" s="383">
        <f t="shared" si="0"/>
        <v>0</v>
      </c>
      <c r="K7" s="383">
        <f>+K38+K69</f>
        <v>0</v>
      </c>
      <c r="L7" s="380"/>
    </row>
    <row r="8" spans="1:12" ht="28.5">
      <c r="A8" s="393"/>
      <c r="B8" s="389" t="s">
        <v>191</v>
      </c>
      <c r="C8" s="386"/>
      <c r="D8" s="379"/>
      <c r="E8" s="379"/>
      <c r="F8" s="380"/>
      <c r="G8" s="405" t="s">
        <v>192</v>
      </c>
      <c r="H8" s="409" t="s">
        <v>90</v>
      </c>
      <c r="I8" s="383">
        <f t="shared" si="0"/>
        <v>0</v>
      </c>
      <c r="J8" s="383">
        <f t="shared" si="0"/>
        <v>614157</v>
      </c>
      <c r="K8" s="383">
        <f>+K39+K70</f>
        <v>614157</v>
      </c>
      <c r="L8" s="380">
        <f>+K8/J8</f>
        <v>1</v>
      </c>
    </row>
    <row r="9" spans="1:12" ht="28.5">
      <c r="A9" s="393"/>
      <c r="B9" s="389" t="s">
        <v>193</v>
      </c>
      <c r="C9" s="386"/>
      <c r="D9" s="386"/>
      <c r="E9" s="386"/>
      <c r="F9" s="387"/>
      <c r="G9" s="410"/>
      <c r="H9" s="411"/>
      <c r="I9" s="386"/>
      <c r="J9" s="386"/>
      <c r="K9" s="386"/>
      <c r="L9" s="387"/>
    </row>
    <row r="10" spans="1:12" ht="28.5">
      <c r="A10" s="393"/>
      <c r="B10" s="389" t="s">
        <v>194</v>
      </c>
      <c r="C10" s="386"/>
      <c r="D10" s="386"/>
      <c r="E10" s="386"/>
      <c r="F10" s="387"/>
      <c r="G10" s="410"/>
      <c r="H10" s="411"/>
      <c r="I10" s="386"/>
      <c r="J10" s="386"/>
      <c r="K10" s="386"/>
      <c r="L10" s="387"/>
    </row>
    <row r="11" spans="1:12" ht="28.5">
      <c r="A11" s="393"/>
      <c r="B11" s="389" t="s">
        <v>195</v>
      </c>
      <c r="C11" s="386">
        <f>+C42+C73</f>
        <v>80952989</v>
      </c>
      <c r="D11" s="386">
        <f>+D42+D73</f>
        <v>89418702</v>
      </c>
      <c r="E11" s="386">
        <f>+E42+E73</f>
        <v>88279601</v>
      </c>
      <c r="F11" s="387">
        <f>+E11/D11</f>
        <v>0.9872610429974705</v>
      </c>
      <c r="G11" s="410"/>
      <c r="H11" s="411"/>
      <c r="I11" s="386"/>
      <c r="J11" s="386"/>
      <c r="K11" s="386"/>
      <c r="L11" s="387"/>
    </row>
    <row r="12" spans="1:12" ht="19.5" customHeight="1">
      <c r="A12" s="393" t="s">
        <v>188</v>
      </c>
      <c r="B12" s="388" t="s">
        <v>39</v>
      </c>
      <c r="C12" s="386">
        <f>SUM(C13:C17)</f>
        <v>0</v>
      </c>
      <c r="D12" s="386">
        <f>SUM(D13:D17)</f>
        <v>36000</v>
      </c>
      <c r="E12" s="386">
        <f>SUM(E13:E17)</f>
        <v>36000</v>
      </c>
      <c r="F12" s="387">
        <f>+E12/D12</f>
        <v>1</v>
      </c>
      <c r="G12" s="410"/>
      <c r="H12" s="411"/>
      <c r="I12" s="386"/>
      <c r="J12" s="386"/>
      <c r="K12" s="386"/>
      <c r="L12" s="387"/>
    </row>
    <row r="13" spans="1:12" ht="19.5" customHeight="1">
      <c r="A13" s="393"/>
      <c r="B13" s="389" t="s">
        <v>196</v>
      </c>
      <c r="C13" s="386"/>
      <c r="D13" s="386"/>
      <c r="E13" s="386"/>
      <c r="F13" s="387"/>
      <c r="G13" s="410"/>
      <c r="H13" s="411"/>
      <c r="I13" s="386"/>
      <c r="J13" s="386"/>
      <c r="K13" s="386"/>
      <c r="L13" s="387"/>
    </row>
    <row r="14" spans="1:12" ht="19.5" customHeight="1">
      <c r="A14" s="393"/>
      <c r="B14" s="389" t="s">
        <v>197</v>
      </c>
      <c r="C14" s="386"/>
      <c r="D14" s="386"/>
      <c r="E14" s="386"/>
      <c r="F14" s="387"/>
      <c r="G14" s="410"/>
      <c r="H14" s="411"/>
      <c r="I14" s="386"/>
      <c r="J14" s="386"/>
      <c r="K14" s="386"/>
      <c r="L14" s="387"/>
    </row>
    <row r="15" spans="1:12" ht="19.5" customHeight="1">
      <c r="A15" s="393"/>
      <c r="B15" s="389" t="s">
        <v>198</v>
      </c>
      <c r="C15" s="386">
        <f>+C46+C77</f>
        <v>0</v>
      </c>
      <c r="D15" s="386">
        <f>+D46+D77</f>
        <v>36000</v>
      </c>
      <c r="E15" s="386">
        <f>+E46+E77</f>
        <v>36000</v>
      </c>
      <c r="F15" s="387">
        <f>+E15/D15</f>
        <v>1</v>
      </c>
      <c r="G15" s="410"/>
      <c r="H15" s="411"/>
      <c r="I15" s="386"/>
      <c r="J15" s="386"/>
      <c r="K15" s="386"/>
      <c r="L15" s="387"/>
    </row>
    <row r="16" spans="1:12" ht="19.5" customHeight="1">
      <c r="A16" s="393"/>
      <c r="B16" s="389" t="s">
        <v>199</v>
      </c>
      <c r="C16" s="386"/>
      <c r="D16" s="386"/>
      <c r="E16" s="386"/>
      <c r="F16" s="387"/>
      <c r="G16" s="410"/>
      <c r="H16" s="411"/>
      <c r="I16" s="386"/>
      <c r="J16" s="386"/>
      <c r="K16" s="386"/>
      <c r="L16" s="387"/>
    </row>
    <row r="17" spans="1:12" ht="19.5" customHeight="1">
      <c r="A17" s="393"/>
      <c r="B17" s="389" t="s">
        <v>200</v>
      </c>
      <c r="C17" s="386"/>
      <c r="D17" s="386"/>
      <c r="E17" s="386"/>
      <c r="F17" s="387"/>
      <c r="G17" s="410"/>
      <c r="H17" s="411"/>
      <c r="I17" s="386"/>
      <c r="J17" s="386"/>
      <c r="K17" s="386"/>
      <c r="L17" s="387"/>
    </row>
    <row r="18" spans="1:12" ht="19.5" customHeight="1">
      <c r="A18" s="393" t="s">
        <v>190</v>
      </c>
      <c r="B18" s="394" t="s">
        <v>201</v>
      </c>
      <c r="C18" s="386">
        <f>SUM(C19:C21)</f>
        <v>100000</v>
      </c>
      <c r="D18" s="386">
        <f>SUM(D19:D21)</f>
        <v>100000</v>
      </c>
      <c r="E18" s="386">
        <f>SUM(E19:E21)</f>
        <v>20050</v>
      </c>
      <c r="F18" s="387">
        <f>+E18/D18</f>
        <v>0.2005</v>
      </c>
      <c r="G18" s="410"/>
      <c r="H18" s="410"/>
      <c r="I18" s="386"/>
      <c r="J18" s="386"/>
      <c r="K18" s="386"/>
      <c r="L18" s="387"/>
    </row>
    <row r="19" spans="1:12" ht="28.5">
      <c r="A19" s="410"/>
      <c r="B19" s="389" t="s">
        <v>202</v>
      </c>
      <c r="C19" s="386"/>
      <c r="D19" s="386"/>
      <c r="E19" s="386"/>
      <c r="F19" s="387"/>
      <c r="G19" s="410"/>
      <c r="H19" s="410"/>
      <c r="I19" s="386"/>
      <c r="J19" s="386"/>
      <c r="K19" s="386"/>
      <c r="L19" s="387"/>
    </row>
    <row r="20" spans="1:12" ht="28.5">
      <c r="A20" s="410"/>
      <c r="B20" s="389" t="s">
        <v>203</v>
      </c>
      <c r="C20" s="386">
        <f aca="true" t="shared" si="1" ref="C20:E21">+C51+C82</f>
        <v>100000</v>
      </c>
      <c r="D20" s="386">
        <f t="shared" si="1"/>
        <v>100000</v>
      </c>
      <c r="E20" s="386">
        <f t="shared" si="1"/>
        <v>20050</v>
      </c>
      <c r="F20" s="387">
        <f>+E20/D20</f>
        <v>0.2005</v>
      </c>
      <c r="G20" s="410"/>
      <c r="H20" s="410"/>
      <c r="I20" s="386"/>
      <c r="J20" s="386"/>
      <c r="K20" s="386"/>
      <c r="L20" s="387"/>
    </row>
    <row r="21" spans="1:12" ht="19.5" customHeight="1" thickBot="1">
      <c r="A21" s="412"/>
      <c r="B21" s="399" t="s">
        <v>204</v>
      </c>
      <c r="C21" s="386">
        <f t="shared" si="1"/>
        <v>0</v>
      </c>
      <c r="D21" s="413">
        <f t="shared" si="1"/>
        <v>0</v>
      </c>
      <c r="E21" s="413">
        <f t="shared" si="1"/>
        <v>0</v>
      </c>
      <c r="F21" s="414"/>
      <c r="G21" s="412"/>
      <c r="H21" s="410"/>
      <c r="I21" s="386"/>
      <c r="J21" s="386"/>
      <c r="K21" s="386"/>
      <c r="L21" s="414"/>
    </row>
    <row r="22" spans="1:12" ht="19.5" customHeight="1" thickBot="1">
      <c r="A22" s="368"/>
      <c r="B22" s="372" t="s">
        <v>207</v>
      </c>
      <c r="C22" s="417">
        <f>SUM(C23:C29)</f>
        <v>103432878</v>
      </c>
      <c r="D22" s="434">
        <f>SUM(D23:D29)</f>
        <v>159705102</v>
      </c>
      <c r="E22" s="434">
        <f>SUM(E23:E29)</f>
        <v>159705102</v>
      </c>
      <c r="F22" s="435">
        <f>+E22/D22</f>
        <v>1</v>
      </c>
      <c r="G22" s="436"/>
      <c r="H22" s="372" t="s">
        <v>208</v>
      </c>
      <c r="I22" s="417">
        <f>SUM(I23:I29)</f>
        <v>0</v>
      </c>
      <c r="J22" s="417">
        <f>SUM(J23:J29)</f>
        <v>0</v>
      </c>
      <c r="K22" s="417">
        <f>SUM(K23:K29)</f>
        <v>0</v>
      </c>
      <c r="L22" s="435"/>
    </row>
    <row r="23" spans="1:12" ht="42.75">
      <c r="A23" s="381" t="s">
        <v>111</v>
      </c>
      <c r="B23" s="421" t="s">
        <v>119</v>
      </c>
      <c r="C23" s="386"/>
      <c r="D23" s="422"/>
      <c r="E23" s="422"/>
      <c r="F23" s="423"/>
      <c r="G23" s="424" t="s">
        <v>111</v>
      </c>
      <c r="H23" s="421" t="s">
        <v>134</v>
      </c>
      <c r="I23" s="383"/>
      <c r="J23" s="383"/>
      <c r="K23" s="383"/>
      <c r="L23" s="423"/>
    </row>
    <row r="24" spans="1:12" ht="19.5" customHeight="1">
      <c r="A24" s="384" t="s">
        <v>112</v>
      </c>
      <c r="B24" s="425" t="s">
        <v>120</v>
      </c>
      <c r="C24" s="386"/>
      <c r="D24" s="426"/>
      <c r="E24" s="426"/>
      <c r="F24" s="427"/>
      <c r="G24" s="428" t="s">
        <v>112</v>
      </c>
      <c r="H24" s="425" t="s">
        <v>135</v>
      </c>
      <c r="I24" s="383"/>
      <c r="J24" s="383"/>
      <c r="K24" s="383"/>
      <c r="L24" s="427"/>
    </row>
    <row r="25" spans="1:12" ht="19.5" customHeight="1">
      <c r="A25" s="384" t="s">
        <v>113</v>
      </c>
      <c r="B25" s="425" t="s">
        <v>121</v>
      </c>
      <c r="C25" s="386"/>
      <c r="D25" s="426"/>
      <c r="E25" s="426"/>
      <c r="F25" s="427"/>
      <c r="G25" s="428" t="s">
        <v>113</v>
      </c>
      <c r="H25" s="425" t="s">
        <v>136</v>
      </c>
      <c r="I25" s="383"/>
      <c r="J25" s="383"/>
      <c r="K25" s="383"/>
      <c r="L25" s="427"/>
    </row>
    <row r="26" spans="1:12" ht="19.5" customHeight="1">
      <c r="A26" s="384" t="s">
        <v>114</v>
      </c>
      <c r="B26" s="425" t="s">
        <v>122</v>
      </c>
      <c r="C26" s="386"/>
      <c r="D26" s="426"/>
      <c r="E26" s="426"/>
      <c r="F26" s="427"/>
      <c r="G26" s="428" t="s">
        <v>114</v>
      </c>
      <c r="H26" s="425" t="s">
        <v>137</v>
      </c>
      <c r="I26" s="383"/>
      <c r="J26" s="383"/>
      <c r="K26" s="383"/>
      <c r="L26" s="427"/>
    </row>
    <row r="27" spans="1:12" ht="19.5" customHeight="1">
      <c r="A27" s="384" t="s">
        <v>115</v>
      </c>
      <c r="B27" s="425" t="s">
        <v>123</v>
      </c>
      <c r="C27" s="386"/>
      <c r="D27" s="426"/>
      <c r="E27" s="426"/>
      <c r="F27" s="427"/>
      <c r="G27" s="428" t="s">
        <v>115</v>
      </c>
      <c r="H27" s="425" t="s">
        <v>138</v>
      </c>
      <c r="I27" s="383"/>
      <c r="J27" s="383"/>
      <c r="K27" s="383"/>
      <c r="L27" s="427"/>
    </row>
    <row r="28" spans="1:12" ht="28.5">
      <c r="A28" s="384" t="s">
        <v>116</v>
      </c>
      <c r="B28" s="425" t="s">
        <v>124</v>
      </c>
      <c r="C28" s="386">
        <f>+C59+C90</f>
        <v>103432878</v>
      </c>
      <c r="D28" s="426">
        <f>+D59+D90</f>
        <v>159705102</v>
      </c>
      <c r="E28" s="426">
        <f>+E59+E90</f>
        <v>159705102</v>
      </c>
      <c r="F28" s="427">
        <f>+E28/D28</f>
        <v>1</v>
      </c>
      <c r="G28" s="428" t="s">
        <v>116</v>
      </c>
      <c r="H28" s="425" t="s">
        <v>218</v>
      </c>
      <c r="I28" s="383"/>
      <c r="J28" s="383"/>
      <c r="K28" s="383"/>
      <c r="L28" s="427"/>
    </row>
    <row r="29" spans="1:12" ht="29.25" thickBot="1">
      <c r="A29" s="429" t="s">
        <v>117</v>
      </c>
      <c r="B29" s="437" t="s">
        <v>125</v>
      </c>
      <c r="C29" s="379"/>
      <c r="D29" s="479"/>
      <c r="E29" s="479"/>
      <c r="F29" s="474"/>
      <c r="G29" s="432" t="s">
        <v>117</v>
      </c>
      <c r="H29" s="439" t="s">
        <v>139</v>
      </c>
      <c r="I29" s="383"/>
      <c r="J29" s="383"/>
      <c r="K29" s="383"/>
      <c r="L29" s="474"/>
    </row>
    <row r="30" spans="1:14" ht="19.5" customHeight="1" thickBot="1">
      <c r="A30" s="440"/>
      <c r="B30" s="368" t="s">
        <v>148</v>
      </c>
      <c r="C30" s="374">
        <f>+C5+C22</f>
        <v>184485867</v>
      </c>
      <c r="D30" s="374">
        <f>+D5+D22</f>
        <v>249259804</v>
      </c>
      <c r="E30" s="374">
        <f>+E5+E22</f>
        <v>248040753</v>
      </c>
      <c r="F30" s="375">
        <f>+E30/D30</f>
        <v>0.9951093157402948</v>
      </c>
      <c r="G30" s="440"/>
      <c r="H30" s="368" t="s">
        <v>149</v>
      </c>
      <c r="I30" s="374">
        <f>+I5+I22</f>
        <v>184485867</v>
      </c>
      <c r="J30" s="374">
        <f>+J5+J22</f>
        <v>249259804</v>
      </c>
      <c r="K30" s="374">
        <f>+K5+K22</f>
        <v>151498358</v>
      </c>
      <c r="L30" s="375">
        <f>+K30/J30</f>
        <v>0.6077929757178177</v>
      </c>
      <c r="N30" s="441">
        <f>D30-J30</f>
        <v>0</v>
      </c>
    </row>
    <row r="31" ht="93.75" customHeight="1"/>
    <row r="32" spans="8:12" ht="19.5" customHeight="1">
      <c r="H32" s="715" t="s">
        <v>913</v>
      </c>
      <c r="I32" s="715"/>
      <c r="J32" s="715"/>
      <c r="K32" s="715"/>
      <c r="L32" s="715"/>
    </row>
    <row r="33" spans="1:12" ht="19.5" customHeight="1">
      <c r="A33" s="711" t="s">
        <v>877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</row>
    <row r="34" ht="19.5" customHeight="1" thickBot="1">
      <c r="L34" s="467" t="s">
        <v>215</v>
      </c>
    </row>
    <row r="35" spans="1:12" ht="30.75" thickBot="1">
      <c r="A35" s="367"/>
      <c r="B35" s="368" t="s">
        <v>104</v>
      </c>
      <c r="C35" s="369" t="s">
        <v>305</v>
      </c>
      <c r="D35" s="369" t="s">
        <v>843</v>
      </c>
      <c r="E35" s="369" t="s">
        <v>303</v>
      </c>
      <c r="F35" s="370" t="s">
        <v>304</v>
      </c>
      <c r="G35" s="371"/>
      <c r="H35" s="368" t="s">
        <v>105</v>
      </c>
      <c r="I35" s="369" t="str">
        <f>C35</f>
        <v>Eredeti előirányzat </v>
      </c>
      <c r="J35" s="369" t="str">
        <f>D35</f>
        <v>Módosított előirányzta V.</v>
      </c>
      <c r="K35" s="369" t="s">
        <v>303</v>
      </c>
      <c r="L35" s="370" t="s">
        <v>304</v>
      </c>
    </row>
    <row r="36" spans="1:12" ht="19.5" customHeight="1" thickBot="1">
      <c r="A36" s="368"/>
      <c r="B36" s="372" t="s">
        <v>185</v>
      </c>
      <c r="C36" s="373">
        <f>+C37+C43+C49</f>
        <v>80952989</v>
      </c>
      <c r="D36" s="373">
        <f>+D37+D43+D49</f>
        <v>89418702</v>
      </c>
      <c r="E36" s="373">
        <f>+E37+E43+E49</f>
        <v>88279601</v>
      </c>
      <c r="F36" s="404">
        <f>+E36/D36</f>
        <v>0.9872610429974705</v>
      </c>
      <c r="G36" s="368"/>
      <c r="H36" s="372" t="s">
        <v>186</v>
      </c>
      <c r="I36" s="373">
        <f>SUM(I37:I39)</f>
        <v>180932867</v>
      </c>
      <c r="J36" s="373">
        <f>SUM(J37:J39)</f>
        <v>209750697</v>
      </c>
      <c r="K36" s="373">
        <f>SUM(K37:K39)</f>
        <v>126731307</v>
      </c>
      <c r="L36" s="404">
        <f>+K36/J36</f>
        <v>0.6041996942684772</v>
      </c>
    </row>
    <row r="37" spans="1:12" ht="19.5" customHeight="1">
      <c r="A37" s="405" t="s">
        <v>100</v>
      </c>
      <c r="B37" s="406" t="s">
        <v>187</v>
      </c>
      <c r="C37" s="407">
        <f>SUM(C38:C42)</f>
        <v>80952989</v>
      </c>
      <c r="D37" s="379">
        <f>SUM(D38:D42)</f>
        <v>89418702</v>
      </c>
      <c r="E37" s="379">
        <f>SUM(E38:E42)</f>
        <v>88279601</v>
      </c>
      <c r="F37" s="380">
        <f>+E37/D37</f>
        <v>0.9872610429974705</v>
      </c>
      <c r="G37" s="405" t="s">
        <v>188</v>
      </c>
      <c r="H37" s="408" t="s">
        <v>131</v>
      </c>
      <c r="I37" s="383">
        <f>+'3.sz.mell_2020.fő'!I120</f>
        <v>180297867</v>
      </c>
      <c r="J37" s="383">
        <f>+'3.sz.mell_2020.fő'!J120</f>
        <v>209750697</v>
      </c>
      <c r="K37" s="383">
        <f>+'3.sz.mell_2020.fő'!K120</f>
        <v>126731307</v>
      </c>
      <c r="L37" s="380">
        <f>+K37/J37</f>
        <v>0.6041996942684772</v>
      </c>
    </row>
    <row r="38" spans="1:12" ht="19.5" customHeight="1">
      <c r="A38" s="393"/>
      <c r="B38" s="389" t="s">
        <v>189</v>
      </c>
      <c r="C38" s="386"/>
      <c r="D38" s="379"/>
      <c r="E38" s="379"/>
      <c r="F38" s="380"/>
      <c r="G38" s="405" t="s">
        <v>190</v>
      </c>
      <c r="H38" s="409" t="s">
        <v>87</v>
      </c>
      <c r="I38" s="383">
        <f>+'3.sz.mell_2020.fő'!I121</f>
        <v>635000</v>
      </c>
      <c r="J38" s="383">
        <f>+'3.sz.mell_2020.fő'!J121</f>
        <v>0</v>
      </c>
      <c r="K38" s="383">
        <f>+'3.sz.mell_2020.fő'!K121</f>
        <v>0</v>
      </c>
      <c r="L38" s="380">
        <v>0</v>
      </c>
    </row>
    <row r="39" spans="1:12" ht="28.5">
      <c r="A39" s="393"/>
      <c r="B39" s="389" t="s">
        <v>191</v>
      </c>
      <c r="C39" s="386"/>
      <c r="D39" s="379"/>
      <c r="E39" s="379"/>
      <c r="F39" s="380"/>
      <c r="G39" s="405" t="s">
        <v>192</v>
      </c>
      <c r="H39" s="409" t="s">
        <v>90</v>
      </c>
      <c r="I39" s="383"/>
      <c r="J39" s="383"/>
      <c r="K39" s="383"/>
      <c r="L39" s="380"/>
    </row>
    <row r="40" spans="1:12" ht="28.5">
      <c r="A40" s="393"/>
      <c r="B40" s="389" t="s">
        <v>193</v>
      </c>
      <c r="C40" s="386"/>
      <c r="D40" s="386"/>
      <c r="E40" s="386"/>
      <c r="F40" s="387"/>
      <c r="G40" s="410"/>
      <c r="H40" s="411"/>
      <c r="I40" s="386"/>
      <c r="J40" s="386"/>
      <c r="K40" s="386"/>
      <c r="L40" s="387"/>
    </row>
    <row r="41" spans="1:12" ht="28.5">
      <c r="A41" s="393"/>
      <c r="B41" s="389" t="s">
        <v>194</v>
      </c>
      <c r="C41" s="386"/>
      <c r="D41" s="386"/>
      <c r="E41" s="386"/>
      <c r="F41" s="387"/>
      <c r="G41" s="410"/>
      <c r="H41" s="411"/>
      <c r="I41" s="386"/>
      <c r="J41" s="386"/>
      <c r="K41" s="386"/>
      <c r="L41" s="387"/>
    </row>
    <row r="42" spans="1:12" ht="28.5">
      <c r="A42" s="393"/>
      <c r="B42" s="389" t="s">
        <v>195</v>
      </c>
      <c r="C42" s="386">
        <f>+'3.sz.mell_2020.fő'!C125</f>
        <v>80952989</v>
      </c>
      <c r="D42" s="386">
        <f>+'3.sz.mell_2020.fő'!D125</f>
        <v>89418702</v>
      </c>
      <c r="E42" s="386">
        <f>+'3.sz.mell_2020.fő'!E125</f>
        <v>88279601</v>
      </c>
      <c r="F42" s="387">
        <f>+E42/D42</f>
        <v>0.9872610429974705</v>
      </c>
      <c r="G42" s="410"/>
      <c r="H42" s="411"/>
      <c r="I42" s="386"/>
      <c r="J42" s="386"/>
      <c r="K42" s="386"/>
      <c r="L42" s="387"/>
    </row>
    <row r="43" spans="1:12" ht="19.5" customHeight="1">
      <c r="A43" s="393" t="s">
        <v>188</v>
      </c>
      <c r="B43" s="388" t="s">
        <v>39</v>
      </c>
      <c r="C43" s="386"/>
      <c r="D43" s="386"/>
      <c r="E43" s="386"/>
      <c r="F43" s="387"/>
      <c r="G43" s="410"/>
      <c r="H43" s="411"/>
      <c r="I43" s="386"/>
      <c r="J43" s="386"/>
      <c r="K43" s="386"/>
      <c r="L43" s="387"/>
    </row>
    <row r="44" spans="1:12" ht="19.5" customHeight="1">
      <c r="A44" s="393"/>
      <c r="B44" s="389" t="s">
        <v>196</v>
      </c>
      <c r="C44" s="386"/>
      <c r="D44" s="386"/>
      <c r="E44" s="386"/>
      <c r="F44" s="387"/>
      <c r="G44" s="410"/>
      <c r="H44" s="411"/>
      <c r="I44" s="386"/>
      <c r="J44" s="386"/>
      <c r="K44" s="386"/>
      <c r="L44" s="387"/>
    </row>
    <row r="45" spans="1:12" ht="19.5" customHeight="1">
      <c r="A45" s="393"/>
      <c r="B45" s="389" t="s">
        <v>197</v>
      </c>
      <c r="C45" s="386"/>
      <c r="D45" s="386"/>
      <c r="E45" s="386"/>
      <c r="F45" s="387"/>
      <c r="G45" s="410"/>
      <c r="H45" s="411"/>
      <c r="I45" s="386"/>
      <c r="J45" s="386"/>
      <c r="K45" s="386"/>
      <c r="L45" s="387"/>
    </row>
    <row r="46" spans="1:12" ht="19.5" customHeight="1">
      <c r="A46" s="393"/>
      <c r="B46" s="389" t="s">
        <v>198</v>
      </c>
      <c r="C46" s="386"/>
      <c r="D46" s="386"/>
      <c r="E46" s="386"/>
      <c r="F46" s="387"/>
      <c r="G46" s="410"/>
      <c r="H46" s="411"/>
      <c r="I46" s="386"/>
      <c r="J46" s="386"/>
      <c r="K46" s="386"/>
      <c r="L46" s="387"/>
    </row>
    <row r="47" spans="1:12" ht="19.5" customHeight="1">
      <c r="A47" s="393"/>
      <c r="B47" s="389" t="s">
        <v>199</v>
      </c>
      <c r="C47" s="386"/>
      <c r="D47" s="386"/>
      <c r="E47" s="386"/>
      <c r="F47" s="387"/>
      <c r="G47" s="410"/>
      <c r="H47" s="411"/>
      <c r="I47" s="386"/>
      <c r="J47" s="386"/>
      <c r="K47" s="386"/>
      <c r="L47" s="387"/>
    </row>
    <row r="48" spans="1:12" ht="19.5" customHeight="1">
      <c r="A48" s="393"/>
      <c r="B48" s="389" t="s">
        <v>200</v>
      </c>
      <c r="C48" s="386"/>
      <c r="D48" s="386"/>
      <c r="E48" s="386"/>
      <c r="F48" s="387"/>
      <c r="G48" s="410"/>
      <c r="H48" s="411"/>
      <c r="I48" s="386"/>
      <c r="J48" s="386"/>
      <c r="K48" s="386"/>
      <c r="L48" s="387"/>
    </row>
    <row r="49" spans="1:12" ht="19.5" customHeight="1">
      <c r="A49" s="393" t="s">
        <v>190</v>
      </c>
      <c r="B49" s="394" t="s">
        <v>201</v>
      </c>
      <c r="C49" s="386"/>
      <c r="D49" s="386"/>
      <c r="E49" s="386"/>
      <c r="F49" s="387"/>
      <c r="G49" s="410"/>
      <c r="H49" s="410"/>
      <c r="I49" s="386"/>
      <c r="J49" s="386"/>
      <c r="K49" s="386"/>
      <c r="L49" s="387"/>
    </row>
    <row r="50" spans="1:12" ht="28.5">
      <c r="A50" s="410"/>
      <c r="B50" s="389" t="s">
        <v>202</v>
      </c>
      <c r="C50" s="386"/>
      <c r="D50" s="386"/>
      <c r="E50" s="386"/>
      <c r="F50" s="387"/>
      <c r="G50" s="410"/>
      <c r="H50" s="410"/>
      <c r="I50" s="386"/>
      <c r="J50" s="386"/>
      <c r="K50" s="386"/>
      <c r="L50" s="387"/>
    </row>
    <row r="51" spans="1:12" ht="28.5">
      <c r="A51" s="410"/>
      <c r="B51" s="389" t="s">
        <v>203</v>
      </c>
      <c r="C51" s="386"/>
      <c r="D51" s="386"/>
      <c r="E51" s="386"/>
      <c r="F51" s="387"/>
      <c r="G51" s="410"/>
      <c r="H51" s="410"/>
      <c r="I51" s="386"/>
      <c r="J51" s="386"/>
      <c r="K51" s="386"/>
      <c r="L51" s="387"/>
    </row>
    <row r="52" spans="1:12" ht="19.5" customHeight="1" thickBot="1">
      <c r="A52" s="412"/>
      <c r="B52" s="399" t="s">
        <v>204</v>
      </c>
      <c r="C52" s="386"/>
      <c r="D52" s="413"/>
      <c r="E52" s="413"/>
      <c r="F52" s="414"/>
      <c r="G52" s="412"/>
      <c r="H52" s="410"/>
      <c r="I52" s="386"/>
      <c r="J52" s="386"/>
      <c r="K52" s="386"/>
      <c r="L52" s="414"/>
    </row>
    <row r="53" spans="1:12" ht="19.5" customHeight="1" thickBot="1">
      <c r="A53" s="368"/>
      <c r="B53" s="372" t="s">
        <v>207</v>
      </c>
      <c r="C53" s="417">
        <f>SUM(C54:C60)</f>
        <v>99979878</v>
      </c>
      <c r="D53" s="434">
        <f>SUM(D54:D60)</f>
        <v>120331995</v>
      </c>
      <c r="E53" s="434">
        <f>SUM(E54:E60)</f>
        <v>120331995</v>
      </c>
      <c r="F53" s="435">
        <f>+E53/D53</f>
        <v>1</v>
      </c>
      <c r="G53" s="436"/>
      <c r="H53" s="372" t="s">
        <v>208</v>
      </c>
      <c r="I53" s="417">
        <f>SUM(I54:I60)</f>
        <v>0</v>
      </c>
      <c r="J53" s="417">
        <f>SUM(J54:J60)</f>
        <v>0</v>
      </c>
      <c r="K53" s="417">
        <f>SUM(K54:K60)</f>
        <v>0</v>
      </c>
      <c r="L53" s="435">
        <v>0</v>
      </c>
    </row>
    <row r="54" spans="1:12" ht="42.75">
      <c r="A54" s="381" t="s">
        <v>111</v>
      </c>
      <c r="B54" s="421" t="s">
        <v>119</v>
      </c>
      <c r="C54" s="386"/>
      <c r="D54" s="422"/>
      <c r="E54" s="422"/>
      <c r="F54" s="423"/>
      <c r="G54" s="424" t="s">
        <v>111</v>
      </c>
      <c r="H54" s="421" t="s">
        <v>134</v>
      </c>
      <c r="I54" s="383"/>
      <c r="J54" s="383"/>
      <c r="K54" s="383"/>
      <c r="L54" s="423"/>
    </row>
    <row r="55" spans="1:12" ht="19.5" customHeight="1">
      <c r="A55" s="384" t="s">
        <v>112</v>
      </c>
      <c r="B55" s="425" t="s">
        <v>120</v>
      </c>
      <c r="C55" s="386"/>
      <c r="D55" s="426"/>
      <c r="E55" s="426"/>
      <c r="F55" s="427"/>
      <c r="G55" s="428" t="s">
        <v>112</v>
      </c>
      <c r="H55" s="425" t="s">
        <v>135</v>
      </c>
      <c r="I55" s="383"/>
      <c r="J55" s="383"/>
      <c r="K55" s="383"/>
      <c r="L55" s="427"/>
    </row>
    <row r="56" spans="1:12" ht="19.5" customHeight="1">
      <c r="A56" s="384" t="s">
        <v>113</v>
      </c>
      <c r="B56" s="425" t="s">
        <v>121</v>
      </c>
      <c r="C56" s="386"/>
      <c r="D56" s="426"/>
      <c r="E56" s="426"/>
      <c r="F56" s="427"/>
      <c r="G56" s="428" t="s">
        <v>113</v>
      </c>
      <c r="H56" s="425" t="s">
        <v>136</v>
      </c>
      <c r="I56" s="383"/>
      <c r="J56" s="383"/>
      <c r="K56" s="383"/>
      <c r="L56" s="427"/>
    </row>
    <row r="57" spans="1:12" ht="19.5" customHeight="1">
      <c r="A57" s="384" t="s">
        <v>114</v>
      </c>
      <c r="B57" s="425" t="s">
        <v>122</v>
      </c>
      <c r="C57" s="386"/>
      <c r="D57" s="426"/>
      <c r="E57" s="426"/>
      <c r="F57" s="427"/>
      <c r="G57" s="428" t="s">
        <v>114</v>
      </c>
      <c r="H57" s="425" t="s">
        <v>137</v>
      </c>
      <c r="I57" s="383"/>
      <c r="J57" s="383"/>
      <c r="K57" s="383"/>
      <c r="L57" s="427"/>
    </row>
    <row r="58" spans="1:12" ht="19.5" customHeight="1">
      <c r="A58" s="384" t="s">
        <v>115</v>
      </c>
      <c r="B58" s="425" t="s">
        <v>123</v>
      </c>
      <c r="C58" s="386"/>
      <c r="D58" s="426"/>
      <c r="E58" s="426"/>
      <c r="F58" s="427"/>
      <c r="G58" s="428" t="s">
        <v>115</v>
      </c>
      <c r="H58" s="425" t="s">
        <v>138</v>
      </c>
      <c r="I58" s="383"/>
      <c r="J58" s="383"/>
      <c r="K58" s="383"/>
      <c r="L58" s="427"/>
    </row>
    <row r="59" spans="1:12" ht="28.5">
      <c r="A59" s="384" t="s">
        <v>116</v>
      </c>
      <c r="B59" s="425" t="s">
        <v>124</v>
      </c>
      <c r="C59" s="386">
        <f>+'3.sz.mell_2020.fő'!C151</f>
        <v>99979878</v>
      </c>
      <c r="D59" s="426">
        <f>+'3.sz.mell_2020.fő'!D151</f>
        <v>120331995</v>
      </c>
      <c r="E59" s="426">
        <f>+'3.sz.mell_2020.fő'!E151</f>
        <v>120331995</v>
      </c>
      <c r="F59" s="427">
        <f>+E59/D59</f>
        <v>1</v>
      </c>
      <c r="G59" s="428" t="s">
        <v>116</v>
      </c>
      <c r="H59" s="425" t="s">
        <v>218</v>
      </c>
      <c r="I59" s="383"/>
      <c r="J59" s="383"/>
      <c r="K59" s="383"/>
      <c r="L59" s="427"/>
    </row>
    <row r="60" spans="1:13" ht="29.25" thickBot="1">
      <c r="A60" s="429" t="s">
        <v>117</v>
      </c>
      <c r="B60" s="437" t="s">
        <v>125</v>
      </c>
      <c r="C60" s="379"/>
      <c r="D60" s="479"/>
      <c r="E60" s="479"/>
      <c r="F60" s="474"/>
      <c r="G60" s="432" t="s">
        <v>117</v>
      </c>
      <c r="H60" s="439" t="s">
        <v>139</v>
      </c>
      <c r="I60" s="383"/>
      <c r="J60" s="383"/>
      <c r="K60" s="383"/>
      <c r="L60" s="474"/>
      <c r="M60" s="441"/>
    </row>
    <row r="61" spans="1:13" ht="19.5" customHeight="1" thickBot="1">
      <c r="A61" s="440"/>
      <c r="B61" s="368" t="s">
        <v>148</v>
      </c>
      <c r="C61" s="374">
        <f>+C36+C53</f>
        <v>180932867</v>
      </c>
      <c r="D61" s="374">
        <f>+D36+D53</f>
        <v>209750697</v>
      </c>
      <c r="E61" s="374">
        <f>+E36+E53</f>
        <v>208611596</v>
      </c>
      <c r="F61" s="375">
        <f>+E61/D61</f>
        <v>0.9945692623848588</v>
      </c>
      <c r="G61" s="440"/>
      <c r="H61" s="368" t="s">
        <v>149</v>
      </c>
      <c r="I61" s="374">
        <f>+I36+I53</f>
        <v>180932867</v>
      </c>
      <c r="J61" s="374">
        <f>+J36+J53</f>
        <v>209750697</v>
      </c>
      <c r="K61" s="374">
        <f>+K36+K53</f>
        <v>126731307</v>
      </c>
      <c r="L61" s="375">
        <f>+K61/J61</f>
        <v>0.6041996942684772</v>
      </c>
      <c r="M61" s="441">
        <f>C61-I61</f>
        <v>0</v>
      </c>
    </row>
    <row r="62" ht="95.25" customHeight="1"/>
    <row r="63" spans="8:12" ht="19.5" customHeight="1">
      <c r="H63" s="715" t="s">
        <v>912</v>
      </c>
      <c r="I63" s="715"/>
      <c r="J63" s="715"/>
      <c r="K63" s="715"/>
      <c r="L63" s="715"/>
    </row>
    <row r="64" spans="1:12" ht="19.5" customHeight="1">
      <c r="A64" s="711" t="s">
        <v>878</v>
      </c>
      <c r="B64" s="711"/>
      <c r="C64" s="711"/>
      <c r="D64" s="711"/>
      <c r="E64" s="711"/>
      <c r="F64" s="711"/>
      <c r="G64" s="711"/>
      <c r="H64" s="711"/>
      <c r="I64" s="711"/>
      <c r="J64" s="711"/>
      <c r="K64" s="711"/>
      <c r="L64" s="711"/>
    </row>
    <row r="65" ht="19.5" customHeight="1" thickBot="1">
      <c r="L65" s="467" t="s">
        <v>215</v>
      </c>
    </row>
    <row r="66" spans="1:12" ht="30.75" thickBot="1">
      <c r="A66" s="367"/>
      <c r="B66" s="368" t="s">
        <v>104</v>
      </c>
      <c r="C66" s="369" t="s">
        <v>305</v>
      </c>
      <c r="D66" s="369" t="s">
        <v>843</v>
      </c>
      <c r="E66" s="369" t="s">
        <v>303</v>
      </c>
      <c r="F66" s="370" t="s">
        <v>304</v>
      </c>
      <c r="G66" s="371"/>
      <c r="H66" s="368" t="s">
        <v>105</v>
      </c>
      <c r="I66" s="369" t="str">
        <f>C66</f>
        <v>Eredeti előirányzat </v>
      </c>
      <c r="J66" s="369" t="str">
        <f>D66</f>
        <v>Módosított előirányzta V.</v>
      </c>
      <c r="K66" s="369" t="s">
        <v>303</v>
      </c>
      <c r="L66" s="370" t="s">
        <v>304</v>
      </c>
    </row>
    <row r="67" spans="1:12" ht="19.5" customHeight="1" thickBot="1">
      <c r="A67" s="368"/>
      <c r="B67" s="372" t="s">
        <v>185</v>
      </c>
      <c r="C67" s="373">
        <f>+C68+C74+C80</f>
        <v>100000</v>
      </c>
      <c r="D67" s="373">
        <f>+D68+D74+D80</f>
        <v>136000</v>
      </c>
      <c r="E67" s="373">
        <f>+E68+E74+E80</f>
        <v>56050</v>
      </c>
      <c r="F67" s="404">
        <f>+E67/D67</f>
        <v>0.41213235294117645</v>
      </c>
      <c r="G67" s="368"/>
      <c r="H67" s="372" t="s">
        <v>186</v>
      </c>
      <c r="I67" s="373">
        <f>SUM(I68:I70)</f>
        <v>3553000</v>
      </c>
      <c r="J67" s="373">
        <f>SUM(J68:J70)</f>
        <v>39509107</v>
      </c>
      <c r="K67" s="373">
        <f>SUM(K68:K70)</f>
        <v>24767051</v>
      </c>
      <c r="L67" s="404">
        <f>+K67/J67</f>
        <v>0.6268694202579673</v>
      </c>
    </row>
    <row r="68" spans="1:12" ht="19.5" customHeight="1">
      <c r="A68" s="405" t="s">
        <v>100</v>
      </c>
      <c r="B68" s="406" t="s">
        <v>187</v>
      </c>
      <c r="C68" s="407"/>
      <c r="D68" s="379"/>
      <c r="E68" s="379"/>
      <c r="F68" s="380"/>
      <c r="G68" s="405" t="s">
        <v>188</v>
      </c>
      <c r="H68" s="408" t="s">
        <v>131</v>
      </c>
      <c r="I68" s="383">
        <f>+'3.sz.mell_2020.fő'!I197</f>
        <v>2918000</v>
      </c>
      <c r="J68" s="383">
        <f>+'3.sz.mell_2020.fő'!J197</f>
        <v>38894950</v>
      </c>
      <c r="K68" s="383">
        <f>+'3.sz.mell_2020.fő'!K197</f>
        <v>24152894</v>
      </c>
      <c r="L68" s="380">
        <f>+K68/J68</f>
        <v>0.620977633343146</v>
      </c>
    </row>
    <row r="69" spans="1:12" ht="19.5" customHeight="1">
      <c r="A69" s="393"/>
      <c r="B69" s="389" t="s">
        <v>189</v>
      </c>
      <c r="C69" s="386"/>
      <c r="D69" s="379"/>
      <c r="E69" s="379"/>
      <c r="F69" s="380"/>
      <c r="G69" s="405" t="s">
        <v>190</v>
      </c>
      <c r="H69" s="409" t="s">
        <v>87</v>
      </c>
      <c r="I69" s="383">
        <f>+'3.sz.mell_2020.fő'!I198</f>
        <v>635000</v>
      </c>
      <c r="J69" s="383">
        <f>+'3.sz.mell_2020.fő'!J198</f>
        <v>0</v>
      </c>
      <c r="K69" s="383">
        <f>+'3.sz.mell_2020.fő'!K198</f>
        <v>0</v>
      </c>
      <c r="L69" s="380"/>
    </row>
    <row r="70" spans="1:12" ht="28.5">
      <c r="A70" s="393"/>
      <c r="B70" s="389" t="s">
        <v>191</v>
      </c>
      <c r="C70" s="386"/>
      <c r="D70" s="379"/>
      <c r="E70" s="379"/>
      <c r="F70" s="380"/>
      <c r="G70" s="405" t="s">
        <v>192</v>
      </c>
      <c r="H70" s="409" t="s">
        <v>90</v>
      </c>
      <c r="I70" s="383">
        <f>+'3.sz.mell_2020.fő'!I199</f>
        <v>0</v>
      </c>
      <c r="J70" s="383">
        <f>+'3.sz.mell_2020.fő'!J199</f>
        <v>614157</v>
      </c>
      <c r="K70" s="383">
        <f>+'3.sz.mell_2020.fő'!K199</f>
        <v>614157</v>
      </c>
      <c r="L70" s="380">
        <f>+K70/J70</f>
        <v>1</v>
      </c>
    </row>
    <row r="71" spans="1:12" ht="28.5">
      <c r="A71" s="393"/>
      <c r="B71" s="389" t="s">
        <v>193</v>
      </c>
      <c r="C71" s="386"/>
      <c r="D71" s="386"/>
      <c r="E71" s="386"/>
      <c r="F71" s="387"/>
      <c r="G71" s="410"/>
      <c r="H71" s="411"/>
      <c r="I71" s="386"/>
      <c r="J71" s="386"/>
      <c r="K71" s="386"/>
      <c r="L71" s="387"/>
    </row>
    <row r="72" spans="1:12" ht="28.5">
      <c r="A72" s="393"/>
      <c r="B72" s="389" t="s">
        <v>194</v>
      </c>
      <c r="C72" s="386"/>
      <c r="D72" s="386"/>
      <c r="E72" s="386"/>
      <c r="F72" s="387"/>
      <c r="G72" s="410"/>
      <c r="H72" s="411"/>
      <c r="I72" s="386"/>
      <c r="J72" s="386"/>
      <c r="K72" s="386"/>
      <c r="L72" s="387"/>
    </row>
    <row r="73" spans="1:12" ht="28.5">
      <c r="A73" s="393"/>
      <c r="B73" s="389" t="s">
        <v>195</v>
      </c>
      <c r="C73" s="386"/>
      <c r="D73" s="386"/>
      <c r="E73" s="386"/>
      <c r="F73" s="387"/>
      <c r="G73" s="410"/>
      <c r="H73" s="411"/>
      <c r="I73" s="386"/>
      <c r="J73" s="386"/>
      <c r="K73" s="386"/>
      <c r="L73" s="387"/>
    </row>
    <row r="74" spans="1:12" ht="19.5" customHeight="1">
      <c r="A74" s="393" t="s">
        <v>188</v>
      </c>
      <c r="B74" s="388" t="s">
        <v>39</v>
      </c>
      <c r="C74" s="386">
        <f>SUM(C75:C79)</f>
        <v>0</v>
      </c>
      <c r="D74" s="386">
        <f>SUM(D75:D79)</f>
        <v>36000</v>
      </c>
      <c r="E74" s="386">
        <f>SUM(E75:E79)</f>
        <v>36000</v>
      </c>
      <c r="F74" s="387">
        <f>+E74/D74</f>
        <v>1</v>
      </c>
      <c r="G74" s="410"/>
      <c r="H74" s="411"/>
      <c r="I74" s="386"/>
      <c r="J74" s="386"/>
      <c r="K74" s="386"/>
      <c r="L74" s="387"/>
    </row>
    <row r="75" spans="1:12" ht="19.5" customHeight="1">
      <c r="A75" s="393"/>
      <c r="B75" s="389" t="s">
        <v>196</v>
      </c>
      <c r="C75" s="386"/>
      <c r="D75" s="386"/>
      <c r="E75" s="386"/>
      <c r="F75" s="387"/>
      <c r="G75" s="410"/>
      <c r="H75" s="411"/>
      <c r="I75" s="386"/>
      <c r="J75" s="386"/>
      <c r="K75" s="386"/>
      <c r="L75" s="387"/>
    </row>
    <row r="76" spans="1:12" ht="19.5" customHeight="1">
      <c r="A76" s="393"/>
      <c r="B76" s="389" t="s">
        <v>197</v>
      </c>
      <c r="C76" s="386"/>
      <c r="D76" s="386"/>
      <c r="E76" s="386"/>
      <c r="F76" s="387"/>
      <c r="G76" s="410"/>
      <c r="H76" s="411"/>
      <c r="I76" s="386"/>
      <c r="J76" s="386"/>
      <c r="K76" s="386"/>
      <c r="L76" s="387"/>
    </row>
    <row r="77" spans="1:12" ht="19.5" customHeight="1">
      <c r="A77" s="393"/>
      <c r="B77" s="389" t="s">
        <v>198</v>
      </c>
      <c r="C77" s="386">
        <f>+'3.sz.mell_2020.fő'!C206</f>
        <v>0</v>
      </c>
      <c r="D77" s="386">
        <f>+'3.sz.mell_2020.fő'!D206</f>
        <v>36000</v>
      </c>
      <c r="E77" s="386">
        <f>+'3.sz.mell_2020.fő'!E206</f>
        <v>36000</v>
      </c>
      <c r="F77" s="387">
        <f>+E77/D77</f>
        <v>1</v>
      </c>
      <c r="G77" s="410"/>
      <c r="H77" s="411"/>
      <c r="I77" s="386"/>
      <c r="J77" s="386"/>
      <c r="K77" s="386"/>
      <c r="L77" s="387"/>
    </row>
    <row r="78" spans="1:12" ht="19.5" customHeight="1">
      <c r="A78" s="393"/>
      <c r="B78" s="389" t="s">
        <v>199</v>
      </c>
      <c r="C78" s="386"/>
      <c r="D78" s="386"/>
      <c r="E78" s="386"/>
      <c r="F78" s="387"/>
      <c r="G78" s="410"/>
      <c r="H78" s="411"/>
      <c r="I78" s="386"/>
      <c r="J78" s="386"/>
      <c r="K78" s="386"/>
      <c r="L78" s="387"/>
    </row>
    <row r="79" spans="1:12" ht="19.5" customHeight="1">
      <c r="A79" s="393"/>
      <c r="B79" s="389" t="s">
        <v>200</v>
      </c>
      <c r="C79" s="386"/>
      <c r="D79" s="386"/>
      <c r="E79" s="386"/>
      <c r="F79" s="387"/>
      <c r="G79" s="410"/>
      <c r="H79" s="411"/>
      <c r="I79" s="386"/>
      <c r="J79" s="386"/>
      <c r="K79" s="386"/>
      <c r="L79" s="387"/>
    </row>
    <row r="80" spans="1:12" ht="19.5" customHeight="1">
      <c r="A80" s="393" t="s">
        <v>190</v>
      </c>
      <c r="B80" s="394" t="s">
        <v>201</v>
      </c>
      <c r="C80" s="386">
        <f>SUM(C81:C83)</f>
        <v>100000</v>
      </c>
      <c r="D80" s="386">
        <f>SUM(D81:D83)</f>
        <v>100000</v>
      </c>
      <c r="E80" s="386">
        <f>SUM(E81:E83)</f>
        <v>20050</v>
      </c>
      <c r="F80" s="387">
        <f>+E80/D80</f>
        <v>0.2005</v>
      </c>
      <c r="G80" s="410"/>
      <c r="H80" s="410"/>
      <c r="I80" s="386"/>
      <c r="J80" s="386"/>
      <c r="K80" s="386"/>
      <c r="L80" s="387"/>
    </row>
    <row r="81" spans="1:12" ht="28.5">
      <c r="A81" s="410"/>
      <c r="B81" s="389" t="s">
        <v>202</v>
      </c>
      <c r="C81" s="386"/>
      <c r="D81" s="386"/>
      <c r="E81" s="386"/>
      <c r="F81" s="387"/>
      <c r="G81" s="410"/>
      <c r="H81" s="410"/>
      <c r="I81" s="386"/>
      <c r="J81" s="386"/>
      <c r="K81" s="386"/>
      <c r="L81" s="387"/>
    </row>
    <row r="82" spans="1:12" ht="28.5">
      <c r="A82" s="410"/>
      <c r="B82" s="389" t="s">
        <v>203</v>
      </c>
      <c r="C82" s="386">
        <f>+'3.sz.mell_2020.fő'!C211</f>
        <v>100000</v>
      </c>
      <c r="D82" s="386">
        <f>+'3.sz.mell_2020.fő'!D211</f>
        <v>100000</v>
      </c>
      <c r="E82" s="386">
        <f>+'3.sz.mell_2020.fő'!E211</f>
        <v>20050</v>
      </c>
      <c r="F82" s="387">
        <f>+E82/D82</f>
        <v>0.2005</v>
      </c>
      <c r="G82" s="410"/>
      <c r="H82" s="410"/>
      <c r="I82" s="386"/>
      <c r="J82" s="386"/>
      <c r="K82" s="386"/>
      <c r="L82" s="387"/>
    </row>
    <row r="83" spans="1:12" ht="19.5" customHeight="1" thickBot="1">
      <c r="A83" s="412"/>
      <c r="B83" s="399" t="s">
        <v>204</v>
      </c>
      <c r="C83" s="386"/>
      <c r="D83" s="413"/>
      <c r="E83" s="413"/>
      <c r="F83" s="414"/>
      <c r="G83" s="412"/>
      <c r="H83" s="410"/>
      <c r="I83" s="386"/>
      <c r="J83" s="386"/>
      <c r="K83" s="386"/>
      <c r="L83" s="414"/>
    </row>
    <row r="84" spans="1:12" ht="19.5" customHeight="1" thickBot="1">
      <c r="A84" s="368"/>
      <c r="B84" s="372" t="s">
        <v>207</v>
      </c>
      <c r="C84" s="417">
        <f>SUM(C85:C91)</f>
        <v>3453000</v>
      </c>
      <c r="D84" s="434">
        <f>SUM(D85:D91)</f>
        <v>39373107</v>
      </c>
      <c r="E84" s="434">
        <f>SUM(E85:E91)</f>
        <v>39373107</v>
      </c>
      <c r="F84" s="435">
        <f>+E84/D84</f>
        <v>1</v>
      </c>
      <c r="G84" s="436"/>
      <c r="H84" s="372" t="s">
        <v>208</v>
      </c>
      <c r="I84" s="417">
        <f>SUM(I85:I91)</f>
        <v>0</v>
      </c>
      <c r="J84" s="417">
        <f>SUM(J85:J91)</f>
        <v>0</v>
      </c>
      <c r="K84" s="417">
        <f>SUM(K85:K91)</f>
        <v>0</v>
      </c>
      <c r="L84" s="435">
        <v>0</v>
      </c>
    </row>
    <row r="85" spans="1:12" ht="42.75">
      <c r="A85" s="381" t="s">
        <v>111</v>
      </c>
      <c r="B85" s="421" t="s">
        <v>119</v>
      </c>
      <c r="C85" s="386"/>
      <c r="D85" s="422"/>
      <c r="E85" s="422"/>
      <c r="F85" s="423"/>
      <c r="G85" s="424" t="s">
        <v>111</v>
      </c>
      <c r="H85" s="421" t="s">
        <v>134</v>
      </c>
      <c r="I85" s="383"/>
      <c r="J85" s="383"/>
      <c r="K85" s="383"/>
      <c r="L85" s="423"/>
    </row>
    <row r="86" spans="1:12" ht="19.5" customHeight="1">
      <c r="A86" s="384" t="s">
        <v>112</v>
      </c>
      <c r="B86" s="425" t="s">
        <v>120</v>
      </c>
      <c r="C86" s="386"/>
      <c r="D86" s="426"/>
      <c r="E86" s="426"/>
      <c r="F86" s="427"/>
      <c r="G86" s="428" t="s">
        <v>112</v>
      </c>
      <c r="H86" s="425" t="s">
        <v>135</v>
      </c>
      <c r="I86" s="383"/>
      <c r="J86" s="383"/>
      <c r="K86" s="383"/>
      <c r="L86" s="427"/>
    </row>
    <row r="87" spans="1:12" ht="19.5" customHeight="1">
      <c r="A87" s="384" t="s">
        <v>113</v>
      </c>
      <c r="B87" s="425" t="s">
        <v>121</v>
      </c>
      <c r="C87" s="386"/>
      <c r="D87" s="426"/>
      <c r="E87" s="426"/>
      <c r="F87" s="427"/>
      <c r="G87" s="428" t="s">
        <v>113</v>
      </c>
      <c r="H87" s="425" t="s">
        <v>136</v>
      </c>
      <c r="I87" s="383"/>
      <c r="J87" s="383"/>
      <c r="K87" s="383"/>
      <c r="L87" s="427"/>
    </row>
    <row r="88" spans="1:12" ht="19.5" customHeight="1">
      <c r="A88" s="384" t="s">
        <v>114</v>
      </c>
      <c r="B88" s="425" t="s">
        <v>122</v>
      </c>
      <c r="C88" s="386"/>
      <c r="D88" s="426"/>
      <c r="E88" s="426"/>
      <c r="F88" s="427"/>
      <c r="G88" s="428" t="s">
        <v>114</v>
      </c>
      <c r="H88" s="425" t="s">
        <v>137</v>
      </c>
      <c r="I88" s="383"/>
      <c r="J88" s="383"/>
      <c r="K88" s="383"/>
      <c r="L88" s="427"/>
    </row>
    <row r="89" spans="1:12" ht="19.5" customHeight="1">
      <c r="A89" s="384" t="s">
        <v>115</v>
      </c>
      <c r="B89" s="425" t="s">
        <v>123</v>
      </c>
      <c r="C89" s="386"/>
      <c r="D89" s="426"/>
      <c r="E89" s="426"/>
      <c r="F89" s="427"/>
      <c r="G89" s="428" t="s">
        <v>115</v>
      </c>
      <c r="H89" s="425" t="s">
        <v>138</v>
      </c>
      <c r="I89" s="383"/>
      <c r="J89" s="383"/>
      <c r="K89" s="383"/>
      <c r="L89" s="427"/>
    </row>
    <row r="90" spans="1:12" ht="28.5">
      <c r="A90" s="384" t="s">
        <v>116</v>
      </c>
      <c r="B90" s="425" t="s">
        <v>124</v>
      </c>
      <c r="C90" s="386">
        <f>+'3.sz.mell_2020.fő'!C228</f>
        <v>3453000</v>
      </c>
      <c r="D90" s="426">
        <f>+'3.sz.mell_2020.fő'!D228</f>
        <v>39373107</v>
      </c>
      <c r="E90" s="426">
        <f>+'3.sz.mell_2020.fő'!E228</f>
        <v>39373107</v>
      </c>
      <c r="F90" s="427">
        <f>+E90/D90</f>
        <v>1</v>
      </c>
      <c r="G90" s="428" t="s">
        <v>116</v>
      </c>
      <c r="H90" s="425" t="s">
        <v>218</v>
      </c>
      <c r="I90" s="383"/>
      <c r="J90" s="383"/>
      <c r="K90" s="383"/>
      <c r="L90" s="427"/>
    </row>
    <row r="91" spans="1:12" ht="29.25" thickBot="1">
      <c r="A91" s="429" t="s">
        <v>117</v>
      </c>
      <c r="B91" s="437" t="s">
        <v>125</v>
      </c>
      <c r="C91" s="379"/>
      <c r="D91" s="479"/>
      <c r="E91" s="479"/>
      <c r="F91" s="474"/>
      <c r="G91" s="432" t="s">
        <v>117</v>
      </c>
      <c r="H91" s="439" t="s">
        <v>139</v>
      </c>
      <c r="I91" s="383"/>
      <c r="J91" s="383"/>
      <c r="K91" s="383"/>
      <c r="L91" s="474"/>
    </row>
    <row r="92" spans="1:14" ht="19.5" customHeight="1" thickBot="1">
      <c r="A92" s="440"/>
      <c r="B92" s="368" t="s">
        <v>148</v>
      </c>
      <c r="C92" s="374">
        <f>+C67+C84</f>
        <v>3553000</v>
      </c>
      <c r="D92" s="374">
        <f>+D67+D84</f>
        <v>39509107</v>
      </c>
      <c r="E92" s="374">
        <f>+E67+E84</f>
        <v>39429157</v>
      </c>
      <c r="F92" s="375">
        <f>+E92/D92</f>
        <v>0.9979764159184868</v>
      </c>
      <c r="G92" s="440"/>
      <c r="H92" s="368" t="s">
        <v>149</v>
      </c>
      <c r="I92" s="374">
        <f>+I67+I84</f>
        <v>3553000</v>
      </c>
      <c r="J92" s="374">
        <f>+J67+J84</f>
        <v>39509107</v>
      </c>
      <c r="K92" s="374">
        <f>+K67+K84</f>
        <v>24767051</v>
      </c>
      <c r="L92" s="375">
        <f>+K92/J92</f>
        <v>0.6268694202579673</v>
      </c>
      <c r="N92" s="441">
        <f>D92-J92</f>
        <v>0</v>
      </c>
    </row>
  </sheetData>
  <sheetProtection/>
  <mergeCells count="6">
    <mergeCell ref="A64:L64"/>
    <mergeCell ref="H63:L63"/>
    <mergeCell ref="A33:L33"/>
    <mergeCell ref="H32:L32"/>
    <mergeCell ref="H3:J3"/>
    <mergeCell ref="A2:L2"/>
  </mergeCells>
  <printOptions horizontalCentered="1"/>
  <pageMargins left="0.31496062992125984" right="0.31496062992125984" top="0.7480314960629921" bottom="0.7480314960629921" header="0.31496062992125984" footer="0.31496062992125984"/>
  <pageSetup fitToHeight="3" horizontalDpi="600" verticalDpi="600" orientation="landscape" paperSize="9" scale="50" r:id="rId1"/>
  <rowBreaks count="2" manualBreakCount="2">
    <brk id="31" max="11" man="1"/>
    <brk id="6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70" zoomScaleNormal="70" zoomScaleSheetLayoutView="70" zoomScalePageLayoutView="0" workbookViewId="0" topLeftCell="A40">
      <selection activeCell="C9" sqref="C9:E9"/>
    </sheetView>
  </sheetViews>
  <sheetFormatPr defaultColWidth="9.140625" defaultRowHeight="15"/>
  <cols>
    <col min="1" max="1" width="6.7109375" style="462" customWidth="1"/>
    <col min="2" max="2" width="65.7109375" style="462" customWidth="1"/>
    <col min="3" max="3" width="15.7109375" style="481" bestFit="1" customWidth="1"/>
    <col min="4" max="4" width="15.421875" style="481" bestFit="1" customWidth="1"/>
    <col min="5" max="5" width="15.421875" style="481" customWidth="1"/>
    <col min="6" max="6" width="15.421875" style="482" customWidth="1"/>
    <col min="7" max="7" width="6.7109375" style="462" customWidth="1"/>
    <col min="8" max="8" width="65.7109375" style="462" customWidth="1"/>
    <col min="9" max="9" width="15.7109375" style="462" bestFit="1" customWidth="1"/>
    <col min="10" max="10" width="15.7109375" style="485" bestFit="1" customWidth="1"/>
    <col min="11" max="11" width="15.421875" style="481" customWidth="1"/>
    <col min="12" max="12" width="15.421875" style="482" customWidth="1"/>
    <col min="13" max="16384" width="9.140625" style="462" customWidth="1"/>
  </cols>
  <sheetData>
    <row r="1" spans="9:12" ht="15" customHeight="1">
      <c r="I1" s="715" t="s">
        <v>915</v>
      </c>
      <c r="J1" s="715"/>
      <c r="K1" s="715"/>
      <c r="L1" s="715"/>
    </row>
    <row r="2" spans="1:12" ht="15">
      <c r="A2" s="712" t="s">
        <v>879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</row>
    <row r="3" spans="1:12" ht="15">
      <c r="A3" s="483"/>
      <c r="B3" s="483"/>
      <c r="C3" s="483"/>
      <c r="D3" s="483"/>
      <c r="E3" s="483"/>
      <c r="F3" s="484"/>
      <c r="G3" s="483"/>
      <c r="K3" s="483"/>
      <c r="L3" s="484"/>
    </row>
    <row r="4" spans="1:12" ht="15" thickBot="1">
      <c r="A4" s="462" t="s">
        <v>150</v>
      </c>
      <c r="L4" s="486" t="s">
        <v>216</v>
      </c>
    </row>
    <row r="5" spans="1:12" ht="40.5" customHeight="1">
      <c r="A5" s="487"/>
      <c r="B5" s="488" t="s">
        <v>104</v>
      </c>
      <c r="C5" s="489" t="s">
        <v>305</v>
      </c>
      <c r="D5" s="489" t="s">
        <v>306</v>
      </c>
      <c r="E5" s="489" t="s">
        <v>303</v>
      </c>
      <c r="F5" s="490" t="s">
        <v>304</v>
      </c>
      <c r="G5" s="491"/>
      <c r="H5" s="488" t="s">
        <v>105</v>
      </c>
      <c r="I5" s="489" t="str">
        <f>C5</f>
        <v>Eredeti előirányzat </v>
      </c>
      <c r="J5" s="489" t="str">
        <f>D5</f>
        <v>Módosított előirányzta III.</v>
      </c>
      <c r="K5" s="489" t="s">
        <v>303</v>
      </c>
      <c r="L5" s="492" t="s">
        <v>304</v>
      </c>
    </row>
    <row r="6" spans="1:12" ht="20.25" customHeight="1">
      <c r="A6" s="493" t="s">
        <v>23</v>
      </c>
      <c r="B6" s="494" t="s">
        <v>108</v>
      </c>
      <c r="C6" s="495">
        <f>+C7+C9+C10+C11</f>
        <v>458915095</v>
      </c>
      <c r="D6" s="495">
        <f>+D7+D9+D10+D11</f>
        <v>564033291</v>
      </c>
      <c r="E6" s="495">
        <f>+E7+E9+E10+E11</f>
        <v>488744857</v>
      </c>
      <c r="F6" s="496">
        <f>+E6/D6</f>
        <v>0.8665177477972661</v>
      </c>
      <c r="G6" s="497" t="s">
        <v>23</v>
      </c>
      <c r="H6" s="494" t="s">
        <v>129</v>
      </c>
      <c r="I6" s="495">
        <f>SUM(I7:I11)</f>
        <v>432011908</v>
      </c>
      <c r="J6" s="495">
        <f>SUM(J7:J11)</f>
        <v>474451133</v>
      </c>
      <c r="K6" s="495">
        <f>SUM(K7:K11)</f>
        <v>264943104</v>
      </c>
      <c r="L6" s="498">
        <f>+K6/J6</f>
        <v>0.5584202156389413</v>
      </c>
    </row>
    <row r="7" spans="1:12" ht="20.25" customHeight="1">
      <c r="A7" s="493" t="s">
        <v>111</v>
      </c>
      <c r="B7" s="494" t="s">
        <v>209</v>
      </c>
      <c r="C7" s="495">
        <f>+'3.sz.mell_2020.fő'!C83</f>
        <v>349060185</v>
      </c>
      <c r="D7" s="495">
        <f>+'3.sz.mell_2020.fő'!D83</f>
        <v>363399871</v>
      </c>
      <c r="E7" s="495">
        <f>+'3.sz.mell_2020.fő'!E83</f>
        <v>333198701</v>
      </c>
      <c r="F7" s="496">
        <f aca="true" t="shared" si="0" ref="F7:F18">+E7/D7</f>
        <v>0.9168927332943384</v>
      </c>
      <c r="G7" s="497" t="s">
        <v>111</v>
      </c>
      <c r="H7" s="494" t="s">
        <v>80</v>
      </c>
      <c r="I7" s="495">
        <f>+'3.sz.mell_2020.fő'!I83</f>
        <v>138004508</v>
      </c>
      <c r="J7" s="495">
        <f>+'3.sz.mell_2020.fő'!J83</f>
        <v>142247703</v>
      </c>
      <c r="K7" s="495">
        <f>+'3.sz.mell_2020.fő'!K83</f>
        <v>94373686</v>
      </c>
      <c r="L7" s="498">
        <f aca="true" t="shared" si="1" ref="L7:L18">+K7/J7</f>
        <v>0.6634461155411416</v>
      </c>
    </row>
    <row r="8" spans="1:12" ht="20.25" customHeight="1">
      <c r="A8" s="493"/>
      <c r="B8" s="499" t="s">
        <v>210</v>
      </c>
      <c r="C8" s="495">
        <f>+'3.sz.mell_2020.fő'!C85</f>
        <v>280500000</v>
      </c>
      <c r="D8" s="495">
        <f>+'3.sz.mell_2020.fő'!D85</f>
        <v>280635928</v>
      </c>
      <c r="E8" s="495">
        <f>+'3.sz.mell_2020.fő'!E85</f>
        <v>280635928</v>
      </c>
      <c r="F8" s="496">
        <f t="shared" si="0"/>
        <v>1</v>
      </c>
      <c r="G8" s="497" t="s">
        <v>112</v>
      </c>
      <c r="H8" s="500" t="s">
        <v>147</v>
      </c>
      <c r="I8" s="495">
        <f>+'3.sz.mell_2020.fő'!I84</f>
        <v>28049738</v>
      </c>
      <c r="J8" s="495">
        <f>+'3.sz.mell_2020.fő'!J84</f>
        <v>26446374</v>
      </c>
      <c r="K8" s="495">
        <f>+'3.sz.mell_2020.fő'!K84</f>
        <v>14857187</v>
      </c>
      <c r="L8" s="498">
        <f t="shared" si="1"/>
        <v>0.5617854077084443</v>
      </c>
    </row>
    <row r="9" spans="1:12" ht="20.25" customHeight="1">
      <c r="A9" s="493" t="s">
        <v>112</v>
      </c>
      <c r="B9" s="501" t="s">
        <v>9</v>
      </c>
      <c r="C9" s="495">
        <v>0</v>
      </c>
      <c r="D9" s="495">
        <v>0</v>
      </c>
      <c r="E9" s="495">
        <v>0</v>
      </c>
      <c r="F9" s="496"/>
      <c r="G9" s="497" t="s">
        <v>113</v>
      </c>
      <c r="H9" s="500" t="s">
        <v>83</v>
      </c>
      <c r="I9" s="495">
        <f>+'3.sz.mell_2020.fő'!I85</f>
        <v>228159262</v>
      </c>
      <c r="J9" s="495">
        <f>+'3.sz.mell_2020.fő'!J85</f>
        <v>256582433</v>
      </c>
      <c r="K9" s="495">
        <f>+'3.sz.mell_2020.fő'!K85</f>
        <v>114766421</v>
      </c>
      <c r="L9" s="498">
        <f t="shared" si="1"/>
        <v>0.44728869259728316</v>
      </c>
    </row>
    <row r="10" spans="1:12" ht="20.25" customHeight="1">
      <c r="A10" s="493" t="s">
        <v>113</v>
      </c>
      <c r="B10" s="494" t="s">
        <v>170</v>
      </c>
      <c r="C10" s="502">
        <f>+'3.sz.mell_2020.fő'!C104</f>
        <v>4232860</v>
      </c>
      <c r="D10" s="502">
        <f>+'3.sz.mell_2020.fő'!D104</f>
        <v>5687421</v>
      </c>
      <c r="E10" s="502">
        <f>+'3.sz.mell_2020.fő'!E104</f>
        <v>2109789</v>
      </c>
      <c r="F10" s="496">
        <f t="shared" si="0"/>
        <v>0.3709570647223056</v>
      </c>
      <c r="G10" s="497" t="s">
        <v>114</v>
      </c>
      <c r="H10" s="500" t="s">
        <v>84</v>
      </c>
      <c r="I10" s="495">
        <f>+'3.sz.mell_2020.fő'!I86</f>
        <v>0</v>
      </c>
      <c r="J10" s="495">
        <f>+'3.sz.mell_2020.fő'!J86</f>
        <v>0</v>
      </c>
      <c r="K10" s="495">
        <f>+'3.sz.mell_2020.fő'!K86</f>
        <v>0</v>
      </c>
      <c r="L10" s="503"/>
    </row>
    <row r="11" spans="1:12" ht="20.25" customHeight="1">
      <c r="A11" s="493" t="s">
        <v>114</v>
      </c>
      <c r="B11" s="501" t="s">
        <v>181</v>
      </c>
      <c r="C11" s="495">
        <f>'3.sz.mell_2020.fő'!C118</f>
        <v>105622050</v>
      </c>
      <c r="D11" s="495">
        <f>'3.sz.mell_2020.fő'!D118</f>
        <v>194945999</v>
      </c>
      <c r="E11" s="495">
        <f>'3.sz.mell_2020.fő'!E118</f>
        <v>153436367</v>
      </c>
      <c r="F11" s="496">
        <f t="shared" si="0"/>
        <v>0.7870711262968777</v>
      </c>
      <c r="G11" s="497" t="s">
        <v>115</v>
      </c>
      <c r="H11" s="500" t="s">
        <v>211</v>
      </c>
      <c r="I11" s="495">
        <f>+'3.sz.mell_2020.fő'!I87-1600</f>
        <v>37798400</v>
      </c>
      <c r="J11" s="495">
        <f>+'3.sz.mell_2020.fő'!J87-1600</f>
        <v>49174623</v>
      </c>
      <c r="K11" s="495">
        <f>+'3.sz.mell_2020.fő'!K87-1600</f>
        <v>40945810</v>
      </c>
      <c r="L11" s="498">
        <f t="shared" si="1"/>
        <v>0.8326613912220537</v>
      </c>
    </row>
    <row r="12" spans="1:12" ht="20.25" customHeight="1">
      <c r="A12" s="504" t="s">
        <v>45</v>
      </c>
      <c r="B12" s="494" t="s">
        <v>118</v>
      </c>
      <c r="C12" s="495">
        <f>SUM(C13:C15)</f>
        <v>80952989</v>
      </c>
      <c r="D12" s="495">
        <f>SUM(D13:D15)</f>
        <v>89418702</v>
      </c>
      <c r="E12" s="495">
        <f>SUM(E13:E15)</f>
        <v>88279601</v>
      </c>
      <c r="F12" s="496">
        <f t="shared" si="0"/>
        <v>0.9872610429974705</v>
      </c>
      <c r="G12" s="505" t="s">
        <v>45</v>
      </c>
      <c r="H12" s="494" t="s">
        <v>130</v>
      </c>
      <c r="I12" s="495">
        <f>SUM(I13:I15)</f>
        <v>180932867</v>
      </c>
      <c r="J12" s="495">
        <f>SUM(J13:J15)</f>
        <v>209750697</v>
      </c>
      <c r="K12" s="495">
        <f>SUM(K13:K15)</f>
        <v>126731307</v>
      </c>
      <c r="L12" s="498">
        <f t="shared" si="1"/>
        <v>0.6041996942684772</v>
      </c>
    </row>
    <row r="13" spans="1:12" ht="20.25" customHeight="1">
      <c r="A13" s="504" t="s">
        <v>111</v>
      </c>
      <c r="B13" s="501" t="s">
        <v>106</v>
      </c>
      <c r="C13" s="495">
        <f>+'3.sz.mell_2020.fő'!C125</f>
        <v>80952989</v>
      </c>
      <c r="D13" s="495">
        <f>+'3.sz.mell_2020.fő'!D125</f>
        <v>89418702</v>
      </c>
      <c r="E13" s="495">
        <f>+'3.sz.mell_2020.fő'!E125</f>
        <v>88279601</v>
      </c>
      <c r="F13" s="496">
        <f t="shared" si="0"/>
        <v>0.9872610429974705</v>
      </c>
      <c r="G13" s="505" t="s">
        <v>111</v>
      </c>
      <c r="H13" s="494" t="s">
        <v>131</v>
      </c>
      <c r="I13" s="502">
        <f>+'3.sz.mell_2020.fő'!I120</f>
        <v>180297867</v>
      </c>
      <c r="J13" s="502">
        <f>+'3.sz.mell_2020.fő'!J120</f>
        <v>209750697</v>
      </c>
      <c r="K13" s="502">
        <f>+'3.sz.mell_2020.fő'!K120</f>
        <v>126731307</v>
      </c>
      <c r="L13" s="498">
        <f t="shared" si="1"/>
        <v>0.6041996942684772</v>
      </c>
    </row>
    <row r="14" spans="1:12" ht="20.25" customHeight="1">
      <c r="A14" s="504" t="s">
        <v>112</v>
      </c>
      <c r="B14" s="500" t="s">
        <v>39</v>
      </c>
      <c r="C14" s="495">
        <f>'3.sz.mell_2020.fő'!C126</f>
        <v>0</v>
      </c>
      <c r="D14" s="495">
        <f>'3.sz.mell_2020.fő'!D126</f>
        <v>0</v>
      </c>
      <c r="E14" s="495">
        <f>'3.sz.mell_2020.fő'!E126</f>
        <v>0</v>
      </c>
      <c r="F14" s="496"/>
      <c r="G14" s="505" t="s">
        <v>112</v>
      </c>
      <c r="H14" s="494" t="s">
        <v>87</v>
      </c>
      <c r="I14" s="502">
        <f>+'3.sz.mell_2020.fő'!I121</f>
        <v>635000</v>
      </c>
      <c r="J14" s="502">
        <f>+'3.sz.mell_2020.fő'!J121</f>
        <v>0</v>
      </c>
      <c r="K14" s="502">
        <f>+'3.sz.mell_2020.fő'!K121</f>
        <v>0</v>
      </c>
      <c r="L14" s="498">
        <v>0</v>
      </c>
    </row>
    <row r="15" spans="1:12" ht="20.25" customHeight="1">
      <c r="A15" s="504" t="s">
        <v>113</v>
      </c>
      <c r="B15" s="501" t="s">
        <v>201</v>
      </c>
      <c r="C15" s="495">
        <f>+'3.sz.mell_2020.fő'!C135</f>
        <v>0</v>
      </c>
      <c r="D15" s="495">
        <f>+'3.sz.mell_2020.fő'!D135</f>
        <v>0</v>
      </c>
      <c r="E15" s="495">
        <f>+'3.sz.mell_2020.fő'!E135</f>
        <v>0</v>
      </c>
      <c r="F15" s="496"/>
      <c r="G15" s="505" t="s">
        <v>113</v>
      </c>
      <c r="H15" s="494" t="s">
        <v>90</v>
      </c>
      <c r="I15" s="502">
        <f>+'3.sz.mell_2020.fő'!I122</f>
        <v>0</v>
      </c>
      <c r="J15" s="502">
        <f>+'3.sz.mell_2020.fő'!J122</f>
        <v>0</v>
      </c>
      <c r="K15" s="502">
        <f>+'3.sz.mell_2020.fő'!K122</f>
        <v>0</v>
      </c>
      <c r="L15" s="498"/>
    </row>
    <row r="16" spans="1:12" ht="20.25" customHeight="1">
      <c r="A16" s="504" t="s">
        <v>56</v>
      </c>
      <c r="B16" s="494" t="s">
        <v>126</v>
      </c>
      <c r="C16" s="495">
        <f>+'3.sz.mell_2020.fő'!C136-1600</f>
        <v>203644393</v>
      </c>
      <c r="D16" s="495">
        <f>+'3.sz.mell_2020.fő'!D136-1600</f>
        <v>169312203</v>
      </c>
      <c r="E16" s="495">
        <f>+'3.sz.mell_2020.fő'!E136-1600</f>
        <v>169312203</v>
      </c>
      <c r="F16" s="496">
        <f t="shared" si="0"/>
        <v>1</v>
      </c>
      <c r="G16" s="505" t="s">
        <v>56</v>
      </c>
      <c r="H16" s="494" t="s">
        <v>132</v>
      </c>
      <c r="I16" s="495">
        <f>+'3.sz.mell_2020.fő'!I136</f>
        <v>230547580</v>
      </c>
      <c r="J16" s="495">
        <f>+'3.sz.mell_2020.fő'!J136</f>
        <v>258894361</v>
      </c>
      <c r="K16" s="495">
        <f>+'3.sz.mell_2020.fő'!K136</f>
        <v>181358147</v>
      </c>
      <c r="L16" s="498">
        <f t="shared" si="1"/>
        <v>0.7005102247089885</v>
      </c>
    </row>
    <row r="17" spans="1:12" ht="20.25" customHeight="1">
      <c r="A17" s="504" t="s">
        <v>64</v>
      </c>
      <c r="B17" s="494" t="s">
        <v>127</v>
      </c>
      <c r="C17" s="495">
        <f>+'3.sz.mell_2020.fő'!C145</f>
        <v>99979878</v>
      </c>
      <c r="D17" s="495">
        <f>+'3.sz.mell_2020.fő'!D145</f>
        <v>120331995</v>
      </c>
      <c r="E17" s="495">
        <f>+'3.sz.mell_2020.fő'!E145</f>
        <v>120331995</v>
      </c>
      <c r="F17" s="496">
        <f t="shared" si="0"/>
        <v>1</v>
      </c>
      <c r="G17" s="505" t="s">
        <v>64</v>
      </c>
      <c r="H17" s="494" t="s">
        <v>133</v>
      </c>
      <c r="I17" s="495">
        <f>+'3.sz.mell_2020.fő'!I145</f>
        <v>0</v>
      </c>
      <c r="J17" s="495">
        <f>+'3.sz.mell_2020.fő'!J145</f>
        <v>0</v>
      </c>
      <c r="K17" s="495">
        <f>+'3.sz.mell_2020.fő'!K145</f>
        <v>0</v>
      </c>
      <c r="L17" s="498">
        <v>0</v>
      </c>
    </row>
    <row r="18" spans="1:12" ht="20.25" customHeight="1" thickBot="1">
      <c r="A18" s="506"/>
      <c r="B18" s="507" t="s">
        <v>148</v>
      </c>
      <c r="C18" s="508">
        <f>+C6+C12+C16+C17</f>
        <v>843492355</v>
      </c>
      <c r="D18" s="508">
        <f>+D6+D12+D16+D17</f>
        <v>943096191</v>
      </c>
      <c r="E18" s="508">
        <f>+E6+E12+E16+E17</f>
        <v>866668656</v>
      </c>
      <c r="F18" s="509">
        <f t="shared" si="0"/>
        <v>0.9189610394683484</v>
      </c>
      <c r="G18" s="507"/>
      <c r="H18" s="507" t="s">
        <v>149</v>
      </c>
      <c r="I18" s="508">
        <f>+I6+I12+I16+I17</f>
        <v>843492355</v>
      </c>
      <c r="J18" s="508">
        <f>+J6+J12+J16+J17</f>
        <v>943096191</v>
      </c>
      <c r="K18" s="508">
        <f>+K6+K12+K16+K17</f>
        <v>573032558</v>
      </c>
      <c r="L18" s="510">
        <f t="shared" si="1"/>
        <v>0.6076077535552257</v>
      </c>
    </row>
    <row r="20" spans="1:12" ht="15" thickBot="1">
      <c r="A20" s="462" t="s">
        <v>151</v>
      </c>
      <c r="L20" s="486" t="s">
        <v>216</v>
      </c>
    </row>
    <row r="21" spans="1:12" ht="40.5" customHeight="1">
      <c r="A21" s="487"/>
      <c r="B21" s="488" t="s">
        <v>104</v>
      </c>
      <c r="C21" s="489" t="s">
        <v>305</v>
      </c>
      <c r="D21" s="489" t="s">
        <v>306</v>
      </c>
      <c r="E21" s="489" t="s">
        <v>303</v>
      </c>
      <c r="F21" s="490" t="s">
        <v>304</v>
      </c>
      <c r="G21" s="491"/>
      <c r="H21" s="488" t="s">
        <v>105</v>
      </c>
      <c r="I21" s="489" t="str">
        <f>C21</f>
        <v>Eredeti előirányzat </v>
      </c>
      <c r="J21" s="489" t="str">
        <f>D21</f>
        <v>Módosított előirányzta III.</v>
      </c>
      <c r="K21" s="489" t="s">
        <v>303</v>
      </c>
      <c r="L21" s="492" t="s">
        <v>304</v>
      </c>
    </row>
    <row r="22" spans="1:12" ht="20.25" customHeight="1">
      <c r="A22" s="493" t="s">
        <v>23</v>
      </c>
      <c r="B22" s="494" t="s">
        <v>108</v>
      </c>
      <c r="C22" s="495">
        <f>SUM(C23:C27)</f>
        <v>0</v>
      </c>
      <c r="D22" s="495">
        <f>SUM(D23:D27)</f>
        <v>0</v>
      </c>
      <c r="E22" s="495">
        <f>SUM(E23:E27)</f>
        <v>0</v>
      </c>
      <c r="F22" s="496"/>
      <c r="G22" s="497" t="s">
        <v>23</v>
      </c>
      <c r="H22" s="494" t="s">
        <v>129</v>
      </c>
      <c r="I22" s="495">
        <f>SUM(I23:I27)</f>
        <v>0</v>
      </c>
      <c r="J22" s="495">
        <f>SUM(J23:J27)</f>
        <v>0</v>
      </c>
      <c r="K22" s="495">
        <f>SUM(K23:K27)</f>
        <v>0</v>
      </c>
      <c r="L22" s="498"/>
    </row>
    <row r="23" spans="1:12" ht="20.25" customHeight="1">
      <c r="A23" s="493" t="s">
        <v>111</v>
      </c>
      <c r="B23" s="494" t="s">
        <v>209</v>
      </c>
      <c r="C23" s="495">
        <v>0</v>
      </c>
      <c r="D23" s="495">
        <v>0</v>
      </c>
      <c r="E23" s="495">
        <v>0</v>
      </c>
      <c r="F23" s="496"/>
      <c r="G23" s="497" t="s">
        <v>111</v>
      </c>
      <c r="H23" s="494" t="s">
        <v>80</v>
      </c>
      <c r="I23" s="495">
        <v>0</v>
      </c>
      <c r="J23" s="495">
        <v>0</v>
      </c>
      <c r="K23" s="495">
        <v>0</v>
      </c>
      <c r="L23" s="498"/>
    </row>
    <row r="24" spans="1:12" ht="20.25" customHeight="1">
      <c r="A24" s="493" t="s">
        <v>112</v>
      </c>
      <c r="B24" s="499" t="s">
        <v>210</v>
      </c>
      <c r="C24" s="495">
        <v>0</v>
      </c>
      <c r="D24" s="495">
        <v>0</v>
      </c>
      <c r="E24" s="495">
        <v>0</v>
      </c>
      <c r="F24" s="496"/>
      <c r="G24" s="497" t="s">
        <v>112</v>
      </c>
      <c r="H24" s="500" t="s">
        <v>147</v>
      </c>
      <c r="I24" s="502">
        <v>0</v>
      </c>
      <c r="J24" s="502">
        <v>0</v>
      </c>
      <c r="K24" s="502">
        <v>0</v>
      </c>
      <c r="L24" s="498"/>
    </row>
    <row r="25" spans="1:12" ht="20.25" customHeight="1">
      <c r="A25" s="493" t="s">
        <v>113</v>
      </c>
      <c r="B25" s="501" t="s">
        <v>9</v>
      </c>
      <c r="C25" s="495">
        <v>0</v>
      </c>
      <c r="D25" s="495">
        <v>0</v>
      </c>
      <c r="E25" s="495">
        <v>0</v>
      </c>
      <c r="F25" s="496"/>
      <c r="G25" s="497" t="s">
        <v>113</v>
      </c>
      <c r="H25" s="500" t="s">
        <v>83</v>
      </c>
      <c r="I25" s="495">
        <v>0</v>
      </c>
      <c r="J25" s="495">
        <v>0</v>
      </c>
      <c r="K25" s="495">
        <v>0</v>
      </c>
      <c r="L25" s="498"/>
    </row>
    <row r="26" spans="1:12" ht="20.25" customHeight="1">
      <c r="A26" s="493" t="s">
        <v>114</v>
      </c>
      <c r="B26" s="494" t="s">
        <v>170</v>
      </c>
      <c r="C26" s="502">
        <v>0</v>
      </c>
      <c r="D26" s="502">
        <v>0</v>
      </c>
      <c r="E26" s="502">
        <v>0</v>
      </c>
      <c r="F26" s="511"/>
      <c r="G26" s="497" t="s">
        <v>114</v>
      </c>
      <c r="H26" s="500" t="s">
        <v>84</v>
      </c>
      <c r="I26" s="495">
        <v>0</v>
      </c>
      <c r="J26" s="495">
        <v>0</v>
      </c>
      <c r="K26" s="495">
        <v>0</v>
      </c>
      <c r="L26" s="503"/>
    </row>
    <row r="27" spans="1:12" ht="20.25" customHeight="1">
      <c r="A27" s="493" t="s">
        <v>115</v>
      </c>
      <c r="B27" s="501" t="s">
        <v>181</v>
      </c>
      <c r="C27" s="495">
        <v>0</v>
      </c>
      <c r="D27" s="495">
        <v>0</v>
      </c>
      <c r="E27" s="495">
        <v>0</v>
      </c>
      <c r="F27" s="496"/>
      <c r="G27" s="497" t="s">
        <v>115</v>
      </c>
      <c r="H27" s="500" t="s">
        <v>211</v>
      </c>
      <c r="I27" s="495">
        <v>0</v>
      </c>
      <c r="J27" s="495">
        <v>0</v>
      </c>
      <c r="K27" s="495">
        <v>0</v>
      </c>
      <c r="L27" s="498"/>
    </row>
    <row r="28" spans="1:12" ht="20.25" customHeight="1">
      <c r="A28" s="504" t="s">
        <v>45</v>
      </c>
      <c r="B28" s="494" t="s">
        <v>118</v>
      </c>
      <c r="C28" s="495">
        <f>SUM(C29:C31)</f>
        <v>0</v>
      </c>
      <c r="D28" s="495">
        <f>SUM(D29:D31)</f>
        <v>0</v>
      </c>
      <c r="E28" s="495">
        <f>SUM(E29:E31)</f>
        <v>0</v>
      </c>
      <c r="F28" s="496"/>
      <c r="G28" s="505" t="s">
        <v>45</v>
      </c>
      <c r="H28" s="494" t="s">
        <v>130</v>
      </c>
      <c r="I28" s="495">
        <f>SUM(I29:I31)</f>
        <v>0</v>
      </c>
      <c r="J28" s="495">
        <f>SUM(J29:J31)</f>
        <v>0</v>
      </c>
      <c r="K28" s="495">
        <f>SUM(K29:K31)</f>
        <v>0</v>
      </c>
      <c r="L28" s="498"/>
    </row>
    <row r="29" spans="1:12" ht="20.25" customHeight="1">
      <c r="A29" s="504" t="s">
        <v>111</v>
      </c>
      <c r="B29" s="501" t="s">
        <v>106</v>
      </c>
      <c r="C29" s="495">
        <v>0</v>
      </c>
      <c r="D29" s="495">
        <v>0</v>
      </c>
      <c r="E29" s="495">
        <v>0</v>
      </c>
      <c r="F29" s="496"/>
      <c r="G29" s="505" t="s">
        <v>111</v>
      </c>
      <c r="H29" s="494" t="s">
        <v>131</v>
      </c>
      <c r="I29" s="502">
        <v>0</v>
      </c>
      <c r="J29" s="502">
        <v>0</v>
      </c>
      <c r="K29" s="502">
        <v>0</v>
      </c>
      <c r="L29" s="498"/>
    </row>
    <row r="30" spans="1:12" ht="20.25" customHeight="1">
      <c r="A30" s="504" t="s">
        <v>112</v>
      </c>
      <c r="B30" s="500" t="s">
        <v>39</v>
      </c>
      <c r="C30" s="495">
        <v>0</v>
      </c>
      <c r="D30" s="495">
        <v>0</v>
      </c>
      <c r="E30" s="495">
        <v>0</v>
      </c>
      <c r="F30" s="496"/>
      <c r="G30" s="505" t="s">
        <v>112</v>
      </c>
      <c r="H30" s="494" t="s">
        <v>87</v>
      </c>
      <c r="I30" s="502">
        <v>0</v>
      </c>
      <c r="J30" s="502">
        <v>0</v>
      </c>
      <c r="K30" s="502">
        <v>0</v>
      </c>
      <c r="L30" s="498"/>
    </row>
    <row r="31" spans="1:12" ht="20.25" customHeight="1">
      <c r="A31" s="504" t="s">
        <v>113</v>
      </c>
      <c r="B31" s="501" t="s">
        <v>201</v>
      </c>
      <c r="C31" s="495">
        <v>0</v>
      </c>
      <c r="D31" s="495">
        <v>0</v>
      </c>
      <c r="E31" s="495">
        <v>0</v>
      </c>
      <c r="F31" s="496"/>
      <c r="G31" s="505" t="s">
        <v>113</v>
      </c>
      <c r="H31" s="494" t="s">
        <v>90</v>
      </c>
      <c r="I31" s="502">
        <v>0</v>
      </c>
      <c r="J31" s="502">
        <v>0</v>
      </c>
      <c r="K31" s="502">
        <v>0</v>
      </c>
      <c r="L31" s="498"/>
    </row>
    <row r="32" spans="1:12" ht="20.25" customHeight="1">
      <c r="A32" s="504" t="s">
        <v>56</v>
      </c>
      <c r="B32" s="494" t="s">
        <v>126</v>
      </c>
      <c r="C32" s="495">
        <v>0</v>
      </c>
      <c r="D32" s="495">
        <v>0</v>
      </c>
      <c r="E32" s="495">
        <v>0</v>
      </c>
      <c r="F32" s="496"/>
      <c r="G32" s="505" t="s">
        <v>56</v>
      </c>
      <c r="H32" s="494" t="s">
        <v>132</v>
      </c>
      <c r="I32" s="495">
        <v>0</v>
      </c>
      <c r="J32" s="495">
        <v>0</v>
      </c>
      <c r="K32" s="495">
        <v>0</v>
      </c>
      <c r="L32" s="498"/>
    </row>
    <row r="33" spans="1:12" s="465" customFormat="1" ht="20.25" customHeight="1">
      <c r="A33" s="504" t="s">
        <v>64</v>
      </c>
      <c r="B33" s="494" t="s">
        <v>127</v>
      </c>
      <c r="C33" s="495">
        <v>0</v>
      </c>
      <c r="D33" s="495">
        <v>0</v>
      </c>
      <c r="E33" s="495">
        <v>0</v>
      </c>
      <c r="F33" s="496"/>
      <c r="G33" s="505" t="s">
        <v>64</v>
      </c>
      <c r="H33" s="494" t="s">
        <v>133</v>
      </c>
      <c r="I33" s="495">
        <v>0</v>
      </c>
      <c r="J33" s="495">
        <v>0</v>
      </c>
      <c r="K33" s="495">
        <v>0</v>
      </c>
      <c r="L33" s="498"/>
    </row>
    <row r="34" spans="1:12" ht="20.25" customHeight="1" thickBot="1">
      <c r="A34" s="506"/>
      <c r="B34" s="507" t="s">
        <v>148</v>
      </c>
      <c r="C34" s="508">
        <f>+C22+C28+C32+C33</f>
        <v>0</v>
      </c>
      <c r="D34" s="508">
        <f>+D22+D28+D32+D33</f>
        <v>0</v>
      </c>
      <c r="E34" s="508">
        <f>+E22+E28+E32+E33</f>
        <v>0</v>
      </c>
      <c r="F34" s="509"/>
      <c r="G34" s="507"/>
      <c r="H34" s="507" t="s">
        <v>149</v>
      </c>
      <c r="I34" s="508">
        <f>+I22+I28+I32+I33</f>
        <v>0</v>
      </c>
      <c r="J34" s="508">
        <f>+J22+J28+J32+J33</f>
        <v>0</v>
      </c>
      <c r="K34" s="508">
        <f>+K22+K28+K32+K33</f>
        <v>0</v>
      </c>
      <c r="L34" s="510"/>
    </row>
    <row r="35" spans="1:12" ht="15">
      <c r="A35" s="365"/>
      <c r="B35" s="442"/>
      <c r="C35" s="512"/>
      <c r="D35" s="512"/>
      <c r="E35" s="512"/>
      <c r="F35" s="513"/>
      <c r="G35" s="442"/>
      <c r="H35" s="442"/>
      <c r="I35" s="442"/>
      <c r="J35" s="514"/>
      <c r="K35" s="512"/>
      <c r="L35" s="513"/>
    </row>
    <row r="36" spans="1:12" ht="15" thickBot="1">
      <c r="A36" s="462" t="s">
        <v>152</v>
      </c>
      <c r="L36" s="486" t="s">
        <v>216</v>
      </c>
    </row>
    <row r="37" spans="1:12" ht="40.5" customHeight="1">
      <c r="A37" s="487"/>
      <c r="B37" s="488" t="s">
        <v>104</v>
      </c>
      <c r="C37" s="489" t="s">
        <v>305</v>
      </c>
      <c r="D37" s="489" t="s">
        <v>306</v>
      </c>
      <c r="E37" s="489" t="s">
        <v>303</v>
      </c>
      <c r="F37" s="490" t="s">
        <v>304</v>
      </c>
      <c r="G37" s="491"/>
      <c r="H37" s="488" t="s">
        <v>105</v>
      </c>
      <c r="I37" s="489" t="str">
        <f>C37</f>
        <v>Eredeti előirányzat </v>
      </c>
      <c r="J37" s="489" t="str">
        <f>D37</f>
        <v>Módosított előirányzta III.</v>
      </c>
      <c r="K37" s="489" t="s">
        <v>303</v>
      </c>
      <c r="L37" s="492" t="s">
        <v>304</v>
      </c>
    </row>
    <row r="38" spans="1:12" ht="20.25" customHeight="1">
      <c r="A38" s="493" t="s">
        <v>23</v>
      </c>
      <c r="B38" s="494" t="s">
        <v>108</v>
      </c>
      <c r="C38" s="495">
        <f>SUM(C39:C43)</f>
        <v>0</v>
      </c>
      <c r="D38" s="495">
        <f>SUM(D39:D43)</f>
        <v>0</v>
      </c>
      <c r="E38" s="495">
        <f>SUM(E39:E43)</f>
        <v>0</v>
      </c>
      <c r="F38" s="496"/>
      <c r="G38" s="497" t="s">
        <v>23</v>
      </c>
      <c r="H38" s="494" t="s">
        <v>129</v>
      </c>
      <c r="I38" s="495">
        <f>SUM(I39:I43)</f>
        <v>0</v>
      </c>
      <c r="J38" s="495">
        <f>SUM(J39:J43)</f>
        <v>0</v>
      </c>
      <c r="K38" s="495">
        <f>SUM(K39:K43)</f>
        <v>0</v>
      </c>
      <c r="L38" s="496"/>
    </row>
    <row r="39" spans="1:12" ht="45">
      <c r="A39" s="493" t="s">
        <v>111</v>
      </c>
      <c r="B39" s="500" t="s">
        <v>109</v>
      </c>
      <c r="C39" s="495">
        <v>0</v>
      </c>
      <c r="D39" s="495">
        <v>0</v>
      </c>
      <c r="E39" s="495">
        <v>0</v>
      </c>
      <c r="F39" s="496"/>
      <c r="G39" s="497" t="s">
        <v>111</v>
      </c>
      <c r="H39" s="500" t="s">
        <v>80</v>
      </c>
      <c r="I39" s="502">
        <v>0</v>
      </c>
      <c r="J39" s="502">
        <v>0</v>
      </c>
      <c r="K39" s="502">
        <v>0</v>
      </c>
      <c r="L39" s="496"/>
    </row>
    <row r="40" spans="1:12" ht="30">
      <c r="A40" s="493" t="s">
        <v>112</v>
      </c>
      <c r="B40" s="500" t="s">
        <v>110</v>
      </c>
      <c r="C40" s="495">
        <v>0</v>
      </c>
      <c r="D40" s="495">
        <v>0</v>
      </c>
      <c r="E40" s="495">
        <v>0</v>
      </c>
      <c r="F40" s="496"/>
      <c r="G40" s="497" t="s">
        <v>112</v>
      </c>
      <c r="H40" s="500" t="s">
        <v>147</v>
      </c>
      <c r="I40" s="502">
        <v>0</v>
      </c>
      <c r="J40" s="502">
        <v>0</v>
      </c>
      <c r="K40" s="502">
        <v>0</v>
      </c>
      <c r="L40" s="496"/>
    </row>
    <row r="41" spans="1:12" ht="20.25" customHeight="1">
      <c r="A41" s="493" t="s">
        <v>113</v>
      </c>
      <c r="B41" s="501" t="s">
        <v>103</v>
      </c>
      <c r="C41" s="495">
        <v>0</v>
      </c>
      <c r="D41" s="495">
        <v>0</v>
      </c>
      <c r="E41" s="495">
        <v>0</v>
      </c>
      <c r="F41" s="496"/>
      <c r="G41" s="497" t="s">
        <v>113</v>
      </c>
      <c r="H41" s="500" t="s">
        <v>83</v>
      </c>
      <c r="I41" s="502">
        <v>0</v>
      </c>
      <c r="J41" s="502">
        <v>0</v>
      </c>
      <c r="K41" s="502">
        <v>0</v>
      </c>
      <c r="L41" s="496"/>
    </row>
    <row r="42" spans="1:12" ht="20.25" customHeight="1">
      <c r="A42" s="504" t="s">
        <v>114</v>
      </c>
      <c r="B42" s="494" t="s">
        <v>9</v>
      </c>
      <c r="C42" s="495">
        <v>0</v>
      </c>
      <c r="D42" s="495">
        <v>0</v>
      </c>
      <c r="E42" s="495">
        <v>0</v>
      </c>
      <c r="F42" s="496"/>
      <c r="G42" s="497" t="s">
        <v>114</v>
      </c>
      <c r="H42" s="500" t="s">
        <v>84</v>
      </c>
      <c r="I42" s="502">
        <v>0</v>
      </c>
      <c r="J42" s="502">
        <v>0</v>
      </c>
      <c r="K42" s="502">
        <v>0</v>
      </c>
      <c r="L42" s="511"/>
    </row>
    <row r="43" spans="1:12" ht="20.25" customHeight="1">
      <c r="A43" s="493" t="s">
        <v>115</v>
      </c>
      <c r="B43" s="501" t="s">
        <v>25</v>
      </c>
      <c r="C43" s="495">
        <v>0</v>
      </c>
      <c r="D43" s="495">
        <v>0</v>
      </c>
      <c r="E43" s="495">
        <v>0</v>
      </c>
      <c r="F43" s="496"/>
      <c r="G43" s="497" t="s">
        <v>115</v>
      </c>
      <c r="H43" s="500" t="s">
        <v>85</v>
      </c>
      <c r="I43" s="502">
        <v>0</v>
      </c>
      <c r="J43" s="502">
        <v>0</v>
      </c>
      <c r="K43" s="502">
        <v>0</v>
      </c>
      <c r="L43" s="496"/>
    </row>
    <row r="44" spans="1:12" ht="20.25" customHeight="1">
      <c r="A44" s="504" t="s">
        <v>45</v>
      </c>
      <c r="B44" s="494" t="s">
        <v>118</v>
      </c>
      <c r="C44" s="495">
        <f>SUM(C45:C47)</f>
        <v>0</v>
      </c>
      <c r="D44" s="495">
        <f>SUM(D45:D47)</f>
        <v>0</v>
      </c>
      <c r="E44" s="495">
        <f>SUM(E45:E47)</f>
        <v>0</v>
      </c>
      <c r="F44" s="496"/>
      <c r="G44" s="505" t="s">
        <v>45</v>
      </c>
      <c r="H44" s="494" t="s">
        <v>130</v>
      </c>
      <c r="I44" s="495">
        <f>SUM(I45:I47)</f>
        <v>0</v>
      </c>
      <c r="J44" s="495">
        <f>SUM(J45:J47)</f>
        <v>0</v>
      </c>
      <c r="K44" s="495">
        <f>SUM(K45:K47)</f>
        <v>0</v>
      </c>
      <c r="L44" s="496"/>
    </row>
    <row r="45" spans="1:12" ht="20.25" customHeight="1">
      <c r="A45" s="504" t="s">
        <v>111</v>
      </c>
      <c r="B45" s="501" t="s">
        <v>106</v>
      </c>
      <c r="C45" s="495">
        <v>0</v>
      </c>
      <c r="D45" s="495">
        <v>0</v>
      </c>
      <c r="E45" s="495">
        <v>0</v>
      </c>
      <c r="F45" s="496"/>
      <c r="G45" s="505" t="s">
        <v>111</v>
      </c>
      <c r="H45" s="494" t="s">
        <v>131</v>
      </c>
      <c r="I45" s="502">
        <v>0</v>
      </c>
      <c r="J45" s="495">
        <v>0</v>
      </c>
      <c r="K45" s="495">
        <v>0</v>
      </c>
      <c r="L45" s="496"/>
    </row>
    <row r="46" spans="1:12" ht="20.25" customHeight="1">
      <c r="A46" s="504" t="s">
        <v>112</v>
      </c>
      <c r="B46" s="500" t="s">
        <v>107</v>
      </c>
      <c r="C46" s="495">
        <v>0</v>
      </c>
      <c r="D46" s="495">
        <v>0</v>
      </c>
      <c r="E46" s="495">
        <v>0</v>
      </c>
      <c r="F46" s="496"/>
      <c r="G46" s="505" t="s">
        <v>112</v>
      </c>
      <c r="H46" s="494" t="s">
        <v>87</v>
      </c>
      <c r="I46" s="502">
        <v>0</v>
      </c>
      <c r="J46" s="495">
        <v>0</v>
      </c>
      <c r="K46" s="495">
        <v>0</v>
      </c>
      <c r="L46" s="496"/>
    </row>
    <row r="47" spans="1:12" ht="20.25" customHeight="1">
      <c r="A47" s="504" t="s">
        <v>113</v>
      </c>
      <c r="B47" s="501" t="s">
        <v>42</v>
      </c>
      <c r="C47" s="495">
        <v>0</v>
      </c>
      <c r="D47" s="495">
        <v>0</v>
      </c>
      <c r="E47" s="495">
        <v>0</v>
      </c>
      <c r="F47" s="496"/>
      <c r="G47" s="505" t="s">
        <v>113</v>
      </c>
      <c r="H47" s="494" t="s">
        <v>90</v>
      </c>
      <c r="I47" s="502">
        <v>0</v>
      </c>
      <c r="J47" s="495">
        <v>0</v>
      </c>
      <c r="K47" s="495">
        <v>0</v>
      </c>
      <c r="L47" s="496"/>
    </row>
    <row r="48" spans="1:12" ht="20.25" customHeight="1">
      <c r="A48" s="504" t="s">
        <v>56</v>
      </c>
      <c r="B48" s="494" t="s">
        <v>126</v>
      </c>
      <c r="C48" s="495">
        <v>0</v>
      </c>
      <c r="D48" s="495">
        <v>0</v>
      </c>
      <c r="E48" s="495">
        <v>0</v>
      </c>
      <c r="F48" s="496"/>
      <c r="G48" s="505" t="s">
        <v>56</v>
      </c>
      <c r="H48" s="494" t="s">
        <v>132</v>
      </c>
      <c r="I48" s="495">
        <v>0</v>
      </c>
      <c r="J48" s="495">
        <v>0</v>
      </c>
      <c r="K48" s="495">
        <v>0</v>
      </c>
      <c r="L48" s="496"/>
    </row>
    <row r="49" spans="1:12" s="465" customFormat="1" ht="20.25" customHeight="1">
      <c r="A49" s="493" t="s">
        <v>64</v>
      </c>
      <c r="B49" s="500" t="s">
        <v>127</v>
      </c>
      <c r="C49" s="495">
        <v>0</v>
      </c>
      <c r="D49" s="495">
        <v>0</v>
      </c>
      <c r="E49" s="495">
        <v>0</v>
      </c>
      <c r="F49" s="496"/>
      <c r="G49" s="497" t="s">
        <v>64</v>
      </c>
      <c r="H49" s="500" t="s">
        <v>133</v>
      </c>
      <c r="I49" s="495">
        <v>0</v>
      </c>
      <c r="J49" s="502">
        <v>0</v>
      </c>
      <c r="K49" s="502">
        <v>0</v>
      </c>
      <c r="L49" s="496"/>
    </row>
    <row r="50" spans="1:12" ht="20.25" customHeight="1" thickBot="1">
      <c r="A50" s="506"/>
      <c r="B50" s="507" t="s">
        <v>148</v>
      </c>
      <c r="C50" s="508">
        <f>+C38+C44+C48+C49</f>
        <v>0</v>
      </c>
      <c r="D50" s="508">
        <f>+D38+D44+D48+D49</f>
        <v>0</v>
      </c>
      <c r="E50" s="508">
        <f>+E38+E44+E48+E49</f>
        <v>0</v>
      </c>
      <c r="F50" s="509"/>
      <c r="G50" s="507"/>
      <c r="H50" s="507" t="s">
        <v>149</v>
      </c>
      <c r="I50" s="508">
        <f>+I38+I44+I48+I49</f>
        <v>0</v>
      </c>
      <c r="J50" s="508">
        <f>+J38+J44+J48+J49</f>
        <v>0</v>
      </c>
      <c r="K50" s="508">
        <f>+K38+K44+K48+K49</f>
        <v>0</v>
      </c>
      <c r="L50" s="509"/>
    </row>
    <row r="52" spans="1:12" ht="15" thickBot="1">
      <c r="A52" s="462" t="s">
        <v>153</v>
      </c>
      <c r="L52" s="486" t="s">
        <v>216</v>
      </c>
    </row>
    <row r="53" spans="1:12" ht="35.25" customHeight="1">
      <c r="A53" s="487"/>
      <c r="B53" s="488" t="s">
        <v>104</v>
      </c>
      <c r="C53" s="489" t="s">
        <v>305</v>
      </c>
      <c r="D53" s="489" t="s">
        <v>306</v>
      </c>
      <c r="E53" s="489" t="s">
        <v>303</v>
      </c>
      <c r="F53" s="490" t="s">
        <v>304</v>
      </c>
      <c r="G53" s="491"/>
      <c r="H53" s="488" t="s">
        <v>105</v>
      </c>
      <c r="I53" s="489" t="str">
        <f>C53</f>
        <v>Eredeti előirányzat </v>
      </c>
      <c r="J53" s="489" t="str">
        <f>D53</f>
        <v>Módosított előirányzta III.</v>
      </c>
      <c r="K53" s="489" t="s">
        <v>303</v>
      </c>
      <c r="L53" s="492" t="s">
        <v>304</v>
      </c>
    </row>
    <row r="54" spans="1:12" ht="20.25" customHeight="1">
      <c r="A54" s="493" t="s">
        <v>23</v>
      </c>
      <c r="B54" s="494" t="s">
        <v>108</v>
      </c>
      <c r="C54" s="495">
        <f aca="true" t="shared" si="2" ref="C54:C59">+C6+C22+C38</f>
        <v>458915095</v>
      </c>
      <c r="D54" s="495">
        <f aca="true" t="shared" si="3" ref="D54:E59">+D6+D22+D38</f>
        <v>564033291</v>
      </c>
      <c r="E54" s="495">
        <f t="shared" si="3"/>
        <v>488744857</v>
      </c>
      <c r="F54" s="496">
        <f>+E54/D54</f>
        <v>0.8665177477972661</v>
      </c>
      <c r="G54" s="497" t="s">
        <v>23</v>
      </c>
      <c r="H54" s="494" t="s">
        <v>129</v>
      </c>
      <c r="I54" s="495">
        <f>SUM(I55:I59)</f>
        <v>432011908</v>
      </c>
      <c r="J54" s="495">
        <f>SUM(J55:J59)</f>
        <v>474451133</v>
      </c>
      <c r="K54" s="495">
        <f>SUM(K55:K59)</f>
        <v>264943104</v>
      </c>
      <c r="L54" s="498">
        <f>+K54/J54</f>
        <v>0.5584202156389413</v>
      </c>
    </row>
    <row r="55" spans="1:12" ht="45">
      <c r="A55" s="493" t="s">
        <v>111</v>
      </c>
      <c r="B55" s="500" t="s">
        <v>109</v>
      </c>
      <c r="C55" s="495">
        <f t="shared" si="2"/>
        <v>349060185</v>
      </c>
      <c r="D55" s="495">
        <f t="shared" si="3"/>
        <v>363399871</v>
      </c>
      <c r="E55" s="495">
        <f t="shared" si="3"/>
        <v>333198701</v>
      </c>
      <c r="F55" s="496">
        <f aca="true" t="shared" si="4" ref="F55:F66">+E55/D55</f>
        <v>0.9168927332943384</v>
      </c>
      <c r="G55" s="497" t="s">
        <v>111</v>
      </c>
      <c r="H55" s="500" t="s">
        <v>80</v>
      </c>
      <c r="I55" s="502">
        <f aca="true" t="shared" si="5" ref="I55:J59">+I7+I23+I39</f>
        <v>138004508</v>
      </c>
      <c r="J55" s="502">
        <f t="shared" si="5"/>
        <v>142247703</v>
      </c>
      <c r="K55" s="502">
        <f>+K7+K23+K39</f>
        <v>94373686</v>
      </c>
      <c r="L55" s="498">
        <f aca="true" t="shared" si="6" ref="L55:L66">+K55/J55</f>
        <v>0.6634461155411416</v>
      </c>
    </row>
    <row r="56" spans="1:12" ht="30">
      <c r="A56" s="493" t="s">
        <v>112</v>
      </c>
      <c r="B56" s="500" t="s">
        <v>110</v>
      </c>
      <c r="C56" s="495">
        <f t="shared" si="2"/>
        <v>280500000</v>
      </c>
      <c r="D56" s="495">
        <f t="shared" si="3"/>
        <v>280635928</v>
      </c>
      <c r="E56" s="495">
        <f t="shared" si="3"/>
        <v>280635928</v>
      </c>
      <c r="F56" s="496">
        <f t="shared" si="4"/>
        <v>1</v>
      </c>
      <c r="G56" s="497" t="s">
        <v>112</v>
      </c>
      <c r="H56" s="500" t="s">
        <v>147</v>
      </c>
      <c r="I56" s="502">
        <f t="shared" si="5"/>
        <v>28049738</v>
      </c>
      <c r="J56" s="502">
        <f t="shared" si="5"/>
        <v>26446374</v>
      </c>
      <c r="K56" s="502">
        <f>+K8+K24+K40</f>
        <v>14857187</v>
      </c>
      <c r="L56" s="498">
        <f t="shared" si="6"/>
        <v>0.5617854077084443</v>
      </c>
    </row>
    <row r="57" spans="1:12" ht="20.25" customHeight="1">
      <c r="A57" s="493" t="s">
        <v>113</v>
      </c>
      <c r="B57" s="501" t="s">
        <v>103</v>
      </c>
      <c r="C57" s="495">
        <f t="shared" si="2"/>
        <v>0</v>
      </c>
      <c r="D57" s="495">
        <f t="shared" si="3"/>
        <v>0</v>
      </c>
      <c r="E57" s="495">
        <f t="shared" si="3"/>
        <v>0</v>
      </c>
      <c r="F57" s="496"/>
      <c r="G57" s="497" t="s">
        <v>113</v>
      </c>
      <c r="H57" s="500" t="s">
        <v>83</v>
      </c>
      <c r="I57" s="502">
        <f t="shared" si="5"/>
        <v>228159262</v>
      </c>
      <c r="J57" s="502">
        <f t="shared" si="5"/>
        <v>256582433</v>
      </c>
      <c r="K57" s="502">
        <f>+K9+K25+K41</f>
        <v>114766421</v>
      </c>
      <c r="L57" s="498">
        <f t="shared" si="6"/>
        <v>0.44728869259728316</v>
      </c>
    </row>
    <row r="58" spans="1:12" ht="20.25" customHeight="1">
      <c r="A58" s="504" t="s">
        <v>114</v>
      </c>
      <c r="B58" s="494" t="s">
        <v>9</v>
      </c>
      <c r="C58" s="495">
        <f t="shared" si="2"/>
        <v>4232860</v>
      </c>
      <c r="D58" s="495">
        <f t="shared" si="3"/>
        <v>5687421</v>
      </c>
      <c r="E58" s="495">
        <f t="shared" si="3"/>
        <v>2109789</v>
      </c>
      <c r="F58" s="496">
        <f t="shared" si="4"/>
        <v>0.3709570647223056</v>
      </c>
      <c r="G58" s="497" t="s">
        <v>114</v>
      </c>
      <c r="H58" s="500" t="s">
        <v>84</v>
      </c>
      <c r="I58" s="502">
        <f t="shared" si="5"/>
        <v>0</v>
      </c>
      <c r="J58" s="502">
        <f t="shared" si="5"/>
        <v>0</v>
      </c>
      <c r="K58" s="502">
        <f>+K10+K26+K42</f>
        <v>0</v>
      </c>
      <c r="L58" s="498"/>
    </row>
    <row r="59" spans="1:12" ht="20.25" customHeight="1">
      <c r="A59" s="493" t="s">
        <v>115</v>
      </c>
      <c r="B59" s="501" t="s">
        <v>25</v>
      </c>
      <c r="C59" s="495">
        <f t="shared" si="2"/>
        <v>105622050</v>
      </c>
      <c r="D59" s="495">
        <f t="shared" si="3"/>
        <v>194945999</v>
      </c>
      <c r="E59" s="495">
        <f t="shared" si="3"/>
        <v>153436367</v>
      </c>
      <c r="F59" s="496">
        <f t="shared" si="4"/>
        <v>0.7870711262968777</v>
      </c>
      <c r="G59" s="497" t="s">
        <v>115</v>
      </c>
      <c r="H59" s="500" t="s">
        <v>85</v>
      </c>
      <c r="I59" s="502">
        <f t="shared" si="5"/>
        <v>37798400</v>
      </c>
      <c r="J59" s="502">
        <f t="shared" si="5"/>
        <v>49174623</v>
      </c>
      <c r="K59" s="502">
        <f>+K11+K27+K43</f>
        <v>40945810</v>
      </c>
      <c r="L59" s="498">
        <f t="shared" si="6"/>
        <v>0.8326613912220537</v>
      </c>
    </row>
    <row r="60" spans="1:12" ht="20.25" customHeight="1">
      <c r="A60" s="504" t="s">
        <v>45</v>
      </c>
      <c r="B60" s="494" t="s">
        <v>118</v>
      </c>
      <c r="C60" s="495">
        <f>SUM(C61:C63)</f>
        <v>80952989</v>
      </c>
      <c r="D60" s="495">
        <f>SUM(D61:D63)</f>
        <v>89418702</v>
      </c>
      <c r="E60" s="495">
        <f>SUM(E61:E63)</f>
        <v>88279601</v>
      </c>
      <c r="F60" s="496">
        <f t="shared" si="4"/>
        <v>0.9872610429974705</v>
      </c>
      <c r="G60" s="505" t="s">
        <v>45</v>
      </c>
      <c r="H60" s="494" t="s">
        <v>130</v>
      </c>
      <c r="I60" s="495">
        <f>SUM(I61:I63)</f>
        <v>180932867</v>
      </c>
      <c r="J60" s="495">
        <f>SUM(J61:J63)</f>
        <v>209750697</v>
      </c>
      <c r="K60" s="495">
        <f>SUM(K61:K63)</f>
        <v>126731307</v>
      </c>
      <c r="L60" s="498">
        <f t="shared" si="6"/>
        <v>0.6041996942684772</v>
      </c>
    </row>
    <row r="61" spans="1:12" ht="20.25" customHeight="1">
      <c r="A61" s="504" t="s">
        <v>111</v>
      </c>
      <c r="B61" s="501" t="s">
        <v>106</v>
      </c>
      <c r="C61" s="495">
        <f aca="true" t="shared" si="7" ref="C61:D65">+C13+C29+C45</f>
        <v>80952989</v>
      </c>
      <c r="D61" s="495">
        <f t="shared" si="7"/>
        <v>89418702</v>
      </c>
      <c r="E61" s="495">
        <f>+E13+E29+E45</f>
        <v>88279601</v>
      </c>
      <c r="F61" s="496">
        <f t="shared" si="4"/>
        <v>0.9872610429974705</v>
      </c>
      <c r="G61" s="505" t="s">
        <v>111</v>
      </c>
      <c r="H61" s="494" t="s">
        <v>131</v>
      </c>
      <c r="I61" s="502">
        <f aca="true" t="shared" si="8" ref="I61:J65">+I13+I29+I45</f>
        <v>180297867</v>
      </c>
      <c r="J61" s="495">
        <f t="shared" si="8"/>
        <v>209750697</v>
      </c>
      <c r="K61" s="495">
        <f>+K13+K29+K45</f>
        <v>126731307</v>
      </c>
      <c r="L61" s="498">
        <f t="shared" si="6"/>
        <v>0.6041996942684772</v>
      </c>
    </row>
    <row r="62" spans="1:12" ht="20.25" customHeight="1">
      <c r="A62" s="504" t="s">
        <v>112</v>
      </c>
      <c r="B62" s="500" t="s">
        <v>107</v>
      </c>
      <c r="C62" s="495">
        <f t="shared" si="7"/>
        <v>0</v>
      </c>
      <c r="D62" s="495">
        <f t="shared" si="7"/>
        <v>0</v>
      </c>
      <c r="E62" s="495">
        <f>+E14+E30+E46</f>
        <v>0</v>
      </c>
      <c r="F62" s="496"/>
      <c r="G62" s="505" t="s">
        <v>112</v>
      </c>
      <c r="H62" s="494" t="s">
        <v>87</v>
      </c>
      <c r="I62" s="502">
        <f t="shared" si="8"/>
        <v>635000</v>
      </c>
      <c r="J62" s="495">
        <f t="shared" si="8"/>
        <v>0</v>
      </c>
      <c r="K62" s="495">
        <f>+K14+K30+K46</f>
        <v>0</v>
      </c>
      <c r="L62" s="498">
        <v>0</v>
      </c>
    </row>
    <row r="63" spans="1:12" ht="20.25" customHeight="1">
      <c r="A63" s="504" t="s">
        <v>113</v>
      </c>
      <c r="B63" s="501" t="s">
        <v>42</v>
      </c>
      <c r="C63" s="495">
        <f t="shared" si="7"/>
        <v>0</v>
      </c>
      <c r="D63" s="495">
        <f t="shared" si="7"/>
        <v>0</v>
      </c>
      <c r="E63" s="495">
        <f>+E15+E31+E47</f>
        <v>0</v>
      </c>
      <c r="F63" s="496"/>
      <c r="G63" s="505" t="s">
        <v>113</v>
      </c>
      <c r="H63" s="494" t="s">
        <v>90</v>
      </c>
      <c r="I63" s="502">
        <f t="shared" si="8"/>
        <v>0</v>
      </c>
      <c r="J63" s="495">
        <f t="shared" si="8"/>
        <v>0</v>
      </c>
      <c r="K63" s="495">
        <f>+K15+K31+K47</f>
        <v>0</v>
      </c>
      <c r="L63" s="498"/>
    </row>
    <row r="64" spans="1:12" ht="20.25" customHeight="1">
      <c r="A64" s="504" t="s">
        <v>56</v>
      </c>
      <c r="B64" s="494" t="s">
        <v>126</v>
      </c>
      <c r="C64" s="495">
        <f t="shared" si="7"/>
        <v>203644393</v>
      </c>
      <c r="D64" s="495">
        <f t="shared" si="7"/>
        <v>169312203</v>
      </c>
      <c r="E64" s="495">
        <f>+E16+E32+E48</f>
        <v>169312203</v>
      </c>
      <c r="F64" s="496">
        <f t="shared" si="4"/>
        <v>1</v>
      </c>
      <c r="G64" s="505" t="s">
        <v>56</v>
      </c>
      <c r="H64" s="494" t="s">
        <v>132</v>
      </c>
      <c r="I64" s="495">
        <f t="shared" si="8"/>
        <v>230547580</v>
      </c>
      <c r="J64" s="495">
        <f t="shared" si="8"/>
        <v>258894361</v>
      </c>
      <c r="K64" s="495">
        <f>+K16+K32+K48</f>
        <v>181358147</v>
      </c>
      <c r="L64" s="498">
        <f t="shared" si="6"/>
        <v>0.7005102247089885</v>
      </c>
    </row>
    <row r="65" spans="1:12" ht="20.25" customHeight="1">
      <c r="A65" s="493" t="s">
        <v>64</v>
      </c>
      <c r="B65" s="500" t="s">
        <v>127</v>
      </c>
      <c r="C65" s="495">
        <f t="shared" si="7"/>
        <v>99979878</v>
      </c>
      <c r="D65" s="495">
        <f t="shared" si="7"/>
        <v>120331995</v>
      </c>
      <c r="E65" s="495">
        <f>+E17+E33+E49</f>
        <v>120331995</v>
      </c>
      <c r="F65" s="496">
        <f t="shared" si="4"/>
        <v>1</v>
      </c>
      <c r="G65" s="497" t="s">
        <v>64</v>
      </c>
      <c r="H65" s="500" t="s">
        <v>133</v>
      </c>
      <c r="I65" s="495">
        <f t="shared" si="8"/>
        <v>0</v>
      </c>
      <c r="J65" s="502">
        <f t="shared" si="8"/>
        <v>0</v>
      </c>
      <c r="K65" s="502">
        <f>+K17+K33+K49</f>
        <v>0</v>
      </c>
      <c r="L65" s="498">
        <v>0</v>
      </c>
    </row>
    <row r="66" spans="1:12" ht="20.25" customHeight="1" thickBot="1">
      <c r="A66" s="506"/>
      <c r="B66" s="507" t="s">
        <v>148</v>
      </c>
      <c r="C66" s="508">
        <f>+C54+C60+C64+C65</f>
        <v>843492355</v>
      </c>
      <c r="D66" s="508">
        <f>+D54+D60+D64+D65</f>
        <v>943096191</v>
      </c>
      <c r="E66" s="508">
        <f>+E54+E60+E64+E65</f>
        <v>866668656</v>
      </c>
      <c r="F66" s="509">
        <f t="shared" si="4"/>
        <v>0.9189610394683484</v>
      </c>
      <c r="G66" s="507"/>
      <c r="H66" s="507" t="s">
        <v>149</v>
      </c>
      <c r="I66" s="508">
        <f>+I54+I60+I64+I65</f>
        <v>843492355</v>
      </c>
      <c r="J66" s="508">
        <f>+J54+J60+J64+J65</f>
        <v>943096191</v>
      </c>
      <c r="K66" s="508">
        <f>+K54+K60+K64+K65</f>
        <v>573032558</v>
      </c>
      <c r="L66" s="510">
        <f t="shared" si="6"/>
        <v>0.6076077535552257</v>
      </c>
    </row>
  </sheetData>
  <sheetProtection/>
  <autoFilter ref="L1:L66"/>
  <mergeCells count="2">
    <mergeCell ref="I1:L1"/>
    <mergeCell ref="A2:L2"/>
  </mergeCells>
  <printOptions/>
  <pageMargins left="0.7086614173228347" right="0.7086614173228347" top="0.5511811023622047" bottom="0.5511811023622047" header="0.31496062992125984" footer="0.31496062992125984"/>
  <pageSetup fitToHeight="2" horizontalDpi="600" verticalDpi="600" orientation="landscape" paperSize="9" scale="48" r:id="rId1"/>
  <rowBreaks count="1" manualBreakCount="1">
    <brk id="35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70" zoomScaleNormal="70" zoomScaleSheetLayoutView="70" zoomScalePageLayoutView="0" workbookViewId="0" topLeftCell="A43">
      <selection activeCell="I72" sqref="I72"/>
    </sheetView>
  </sheetViews>
  <sheetFormatPr defaultColWidth="9.140625" defaultRowHeight="15"/>
  <cols>
    <col min="1" max="1" width="6.7109375" style="462" customWidth="1"/>
    <col min="2" max="2" width="65.7109375" style="462" customWidth="1"/>
    <col min="3" max="3" width="13.8515625" style="485" bestFit="1" customWidth="1"/>
    <col min="4" max="4" width="15.00390625" style="485" bestFit="1" customWidth="1"/>
    <col min="5" max="5" width="13.8515625" style="485" bestFit="1" customWidth="1"/>
    <col min="6" max="6" width="14.421875" style="486" bestFit="1" customWidth="1"/>
    <col min="7" max="7" width="6.7109375" style="462" customWidth="1"/>
    <col min="8" max="8" width="65.7109375" style="462" customWidth="1"/>
    <col min="9" max="9" width="13.8515625" style="462" bestFit="1" customWidth="1"/>
    <col min="10" max="10" width="15.00390625" style="481" bestFit="1" customWidth="1"/>
    <col min="11" max="11" width="13.8515625" style="485" bestFit="1" customWidth="1"/>
    <col min="12" max="12" width="14.57421875" style="486" bestFit="1" customWidth="1"/>
    <col min="13" max="16384" width="9.140625" style="462" customWidth="1"/>
  </cols>
  <sheetData>
    <row r="1" spans="9:12" ht="14.25">
      <c r="I1" s="715" t="s">
        <v>916</v>
      </c>
      <c r="J1" s="715"/>
      <c r="K1" s="715"/>
      <c r="L1" s="715"/>
    </row>
    <row r="2" spans="1:12" ht="15">
      <c r="A2" s="712" t="s">
        <v>880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</row>
    <row r="3" spans="1:12" ht="15">
      <c r="A3" s="483"/>
      <c r="B3" s="483"/>
      <c r="C3" s="515"/>
      <c r="D3" s="515"/>
      <c r="E3" s="515"/>
      <c r="F3" s="516"/>
      <c r="G3" s="483"/>
      <c r="K3" s="515"/>
      <c r="L3" s="516"/>
    </row>
    <row r="4" spans="1:12" ht="15" thickBot="1">
      <c r="A4" s="462" t="s">
        <v>150</v>
      </c>
      <c r="L4" s="481" t="s">
        <v>216</v>
      </c>
    </row>
    <row r="5" spans="1:12" ht="40.5" customHeight="1">
      <c r="A5" s="487"/>
      <c r="B5" s="488" t="s">
        <v>104</v>
      </c>
      <c r="C5" s="489" t="s">
        <v>305</v>
      </c>
      <c r="D5" s="489" t="s">
        <v>843</v>
      </c>
      <c r="E5" s="489" t="s">
        <v>303</v>
      </c>
      <c r="F5" s="490" t="s">
        <v>304</v>
      </c>
      <c r="G5" s="491"/>
      <c r="H5" s="488" t="s">
        <v>105</v>
      </c>
      <c r="I5" s="489" t="str">
        <f>C5</f>
        <v>Eredeti előirányzat </v>
      </c>
      <c r="J5" s="489" t="str">
        <f>D5</f>
        <v>Módosított előirányzta V.</v>
      </c>
      <c r="K5" s="489" t="s">
        <v>303</v>
      </c>
      <c r="L5" s="492" t="s">
        <v>304</v>
      </c>
    </row>
    <row r="6" spans="1:12" ht="20.25" customHeight="1">
      <c r="A6" s="493" t="s">
        <v>23</v>
      </c>
      <c r="B6" s="494" t="s">
        <v>108</v>
      </c>
      <c r="C6" s="495">
        <f>+C7+C9+C10+C11</f>
        <v>18393765</v>
      </c>
      <c r="D6" s="495">
        <f>+D7+D9+D10+D11</f>
        <v>112684916</v>
      </c>
      <c r="E6" s="495">
        <f>+E7+E9+E10+E11</f>
        <v>66226731</v>
      </c>
      <c r="F6" s="496">
        <f>+E6/D6</f>
        <v>0.5877160258077487</v>
      </c>
      <c r="G6" s="497" t="s">
        <v>23</v>
      </c>
      <c r="H6" s="494" t="s">
        <v>129</v>
      </c>
      <c r="I6" s="495">
        <f>SUM(I7:I11)</f>
        <v>536373500</v>
      </c>
      <c r="J6" s="495">
        <f>SUM(J7:J11)</f>
        <v>597551904</v>
      </c>
      <c r="K6" s="495">
        <f>SUM(K7:K11)</f>
        <v>275641250</v>
      </c>
      <c r="L6" s="496">
        <f>+K6/J6</f>
        <v>0.4612841966611824</v>
      </c>
    </row>
    <row r="7" spans="1:12" ht="20.25" customHeight="1">
      <c r="A7" s="493" t="s">
        <v>111</v>
      </c>
      <c r="B7" s="500" t="s">
        <v>209</v>
      </c>
      <c r="C7" s="495">
        <v>0</v>
      </c>
      <c r="D7" s="495">
        <v>0</v>
      </c>
      <c r="E7" s="495">
        <v>0</v>
      </c>
      <c r="F7" s="496"/>
      <c r="G7" s="497" t="s">
        <v>111</v>
      </c>
      <c r="H7" s="500" t="s">
        <v>80</v>
      </c>
      <c r="I7" s="495">
        <f>+'3.sz.mell_2020.fő'!I160</f>
        <v>266406681</v>
      </c>
      <c r="J7" s="495">
        <f>+'3.sz.mell_2020.fő'!J160</f>
        <v>330964764</v>
      </c>
      <c r="K7" s="495">
        <f>+'3.sz.mell_2020.fő'!K160</f>
        <v>176819895</v>
      </c>
      <c r="L7" s="496">
        <f aca="true" t="shared" si="0" ref="L7:L18">+K7/J7</f>
        <v>0.5342559517906867</v>
      </c>
    </row>
    <row r="8" spans="1:12" ht="20.25" customHeight="1">
      <c r="A8" s="493"/>
      <c r="B8" s="499" t="s">
        <v>210</v>
      </c>
      <c r="C8" s="495">
        <v>0</v>
      </c>
      <c r="D8" s="495">
        <v>0</v>
      </c>
      <c r="E8" s="495">
        <v>0</v>
      </c>
      <c r="F8" s="496"/>
      <c r="G8" s="497" t="s">
        <v>112</v>
      </c>
      <c r="H8" s="500" t="s">
        <v>147</v>
      </c>
      <c r="I8" s="495">
        <f>+'3.sz.mell_2020.fő'!I161</f>
        <v>56259036</v>
      </c>
      <c r="J8" s="495">
        <f>+'3.sz.mell_2020.fő'!J161</f>
        <v>64739706</v>
      </c>
      <c r="K8" s="495">
        <f>+'3.sz.mell_2020.fő'!K161</f>
        <v>29956891</v>
      </c>
      <c r="L8" s="496">
        <f t="shared" si="0"/>
        <v>0.46272825211779617</v>
      </c>
    </row>
    <row r="9" spans="1:12" ht="20.25" customHeight="1">
      <c r="A9" s="493" t="s">
        <v>112</v>
      </c>
      <c r="B9" s="501" t="s">
        <v>9</v>
      </c>
      <c r="C9" s="495">
        <v>0</v>
      </c>
      <c r="D9" s="495">
        <v>0</v>
      </c>
      <c r="E9" s="495">
        <v>0</v>
      </c>
      <c r="F9" s="496"/>
      <c r="G9" s="497" t="s">
        <v>113</v>
      </c>
      <c r="H9" s="500" t="s">
        <v>83</v>
      </c>
      <c r="I9" s="495">
        <f>+'3.sz.mell_2020.fő'!I162</f>
        <v>158130927</v>
      </c>
      <c r="J9" s="495">
        <f>+'3.sz.mell_2020.fő'!J162</f>
        <v>140195645</v>
      </c>
      <c r="K9" s="495">
        <f>+'3.sz.mell_2020.fő'!K162</f>
        <v>59594888</v>
      </c>
      <c r="L9" s="496">
        <f t="shared" si="0"/>
        <v>0.4250837320945312</v>
      </c>
    </row>
    <row r="10" spans="1:12" ht="20.25" customHeight="1">
      <c r="A10" s="493" t="s">
        <v>113</v>
      </c>
      <c r="B10" s="494" t="s">
        <v>170</v>
      </c>
      <c r="C10" s="502">
        <f>+'3.sz.mell_2020.fő'!C159</f>
        <v>18393765</v>
      </c>
      <c r="D10" s="502">
        <f>+'3.sz.mell_2020.fő'!D159</f>
        <v>112684916</v>
      </c>
      <c r="E10" s="502">
        <f>+'3.sz.mell_2020.fő'!E159</f>
        <v>66226730</v>
      </c>
      <c r="F10" s="511">
        <f aca="true" t="shared" si="1" ref="F10:F18">+E10/D10</f>
        <v>0.5877160169334466</v>
      </c>
      <c r="G10" s="497" t="s">
        <v>114</v>
      </c>
      <c r="H10" s="500" t="s">
        <v>84</v>
      </c>
      <c r="I10" s="502">
        <f>+'3.sz.mell_2020.fő'!I163</f>
        <v>0</v>
      </c>
      <c r="J10" s="502">
        <f>+'3.sz.mell_2020.fő'!J163</f>
        <v>0</v>
      </c>
      <c r="K10" s="502">
        <f>+'3.sz.mell_2020.fő'!K163</f>
        <v>0</v>
      </c>
      <c r="L10" s="511"/>
    </row>
    <row r="11" spans="1:12" ht="20.25" customHeight="1">
      <c r="A11" s="493" t="s">
        <v>114</v>
      </c>
      <c r="B11" s="501" t="s">
        <v>181</v>
      </c>
      <c r="C11" s="495">
        <v>0</v>
      </c>
      <c r="D11" s="495">
        <v>0</v>
      </c>
      <c r="E11" s="495">
        <v>1</v>
      </c>
      <c r="F11" s="496"/>
      <c r="G11" s="497" t="s">
        <v>115</v>
      </c>
      <c r="H11" s="500" t="s">
        <v>211</v>
      </c>
      <c r="I11" s="495">
        <f>+'3.sz.mell_2020.fő'!I164</f>
        <v>55576856</v>
      </c>
      <c r="J11" s="495">
        <f>+'3.sz.mell_2020.fő'!J164</f>
        <v>61651789</v>
      </c>
      <c r="K11" s="495">
        <f>+'3.sz.mell_2020.fő'!K164</f>
        <v>9269576</v>
      </c>
      <c r="L11" s="496">
        <f t="shared" si="0"/>
        <v>0.1503537229065648</v>
      </c>
    </row>
    <row r="12" spans="1:12" ht="20.25" customHeight="1">
      <c r="A12" s="504" t="s">
        <v>45</v>
      </c>
      <c r="B12" s="494" t="s">
        <v>118</v>
      </c>
      <c r="C12" s="495">
        <f>+'3.sz.mell_2020.fő'!C196</f>
        <v>100000</v>
      </c>
      <c r="D12" s="495">
        <f>+'3.sz.mell_2020.fő'!D196</f>
        <v>136000</v>
      </c>
      <c r="E12" s="495">
        <f>+'3.sz.mell_2020.fő'!E196</f>
        <v>56050</v>
      </c>
      <c r="F12" s="496">
        <f t="shared" si="1"/>
        <v>0.41213235294117645</v>
      </c>
      <c r="G12" s="505" t="s">
        <v>45</v>
      </c>
      <c r="H12" s="494" t="s">
        <v>130</v>
      </c>
      <c r="I12" s="495">
        <f>SUM(I13:I15)</f>
        <v>3553000</v>
      </c>
      <c r="J12" s="495">
        <f>SUM(J13:J15)</f>
        <v>39509107</v>
      </c>
      <c r="K12" s="495">
        <f>SUM(K13:K15)</f>
        <v>24767051</v>
      </c>
      <c r="L12" s="496">
        <f t="shared" si="0"/>
        <v>0.6268694202579673</v>
      </c>
    </row>
    <row r="13" spans="1:12" ht="20.25" customHeight="1">
      <c r="A13" s="504" t="s">
        <v>111</v>
      </c>
      <c r="B13" s="501" t="s">
        <v>106</v>
      </c>
      <c r="C13" s="495">
        <v>0</v>
      </c>
      <c r="D13" s="495">
        <f>+'3.sz.mell_2020.fő'!D197</f>
        <v>0</v>
      </c>
      <c r="E13" s="495">
        <f>+'3.sz.mell_2020.fő'!E197</f>
        <v>0</v>
      </c>
      <c r="F13" s="496"/>
      <c r="G13" s="505" t="s">
        <v>111</v>
      </c>
      <c r="H13" s="494" t="s">
        <v>131</v>
      </c>
      <c r="I13" s="495">
        <f>+'3.sz.mell_2020.fő'!I197</f>
        <v>2918000</v>
      </c>
      <c r="J13" s="495">
        <f>+'3.sz.mell_2020.fő'!J197</f>
        <v>38894950</v>
      </c>
      <c r="K13" s="495">
        <f>+'3.sz.mell_2020.fő'!K197</f>
        <v>24152894</v>
      </c>
      <c r="L13" s="496">
        <f t="shared" si="0"/>
        <v>0.620977633343146</v>
      </c>
    </row>
    <row r="14" spans="1:12" ht="20.25" customHeight="1">
      <c r="A14" s="504" t="s">
        <v>112</v>
      </c>
      <c r="B14" s="500" t="s">
        <v>39</v>
      </c>
      <c r="C14" s="495">
        <v>0</v>
      </c>
      <c r="D14" s="495">
        <f>+'3.sz.mell_2020.fő'!D198</f>
        <v>0</v>
      </c>
      <c r="E14" s="495">
        <f>+'3.sz.mell_2020.fő'!E198</f>
        <v>0</v>
      </c>
      <c r="F14" s="496"/>
      <c r="G14" s="505" t="s">
        <v>112</v>
      </c>
      <c r="H14" s="494" t="s">
        <v>87</v>
      </c>
      <c r="I14" s="495">
        <f>+'3.sz.mell_2020.fő'!I198</f>
        <v>635000</v>
      </c>
      <c r="J14" s="495">
        <f>+'3.sz.mell_2020.fő'!J198</f>
        <v>0</v>
      </c>
      <c r="K14" s="495">
        <f>+'3.sz.mell_2020.fő'!K198</f>
        <v>0</v>
      </c>
      <c r="L14" s="496"/>
    </row>
    <row r="15" spans="1:12" ht="20.25" customHeight="1">
      <c r="A15" s="504" t="s">
        <v>113</v>
      </c>
      <c r="B15" s="501" t="s">
        <v>201</v>
      </c>
      <c r="C15" s="495"/>
      <c r="D15" s="495">
        <f>+'3.sz.mell_2020.fő'!D199</f>
        <v>0</v>
      </c>
      <c r="E15" s="495">
        <f>+'3.sz.mell_2020.fő'!E199</f>
        <v>0</v>
      </c>
      <c r="F15" s="496"/>
      <c r="G15" s="505" t="s">
        <v>113</v>
      </c>
      <c r="H15" s="494" t="s">
        <v>90</v>
      </c>
      <c r="I15" s="495">
        <f>+'3.sz.mell_2020.fő'!I199</f>
        <v>0</v>
      </c>
      <c r="J15" s="495">
        <f>+'3.sz.mell_2020.fő'!J199</f>
        <v>614157</v>
      </c>
      <c r="K15" s="495">
        <f>+'3.sz.mell_2020.fő'!K199</f>
        <v>614157</v>
      </c>
      <c r="L15" s="496">
        <f t="shared" si="0"/>
        <v>1</v>
      </c>
    </row>
    <row r="16" spans="1:12" ht="20.25" customHeight="1">
      <c r="A16" s="504" t="s">
        <v>56</v>
      </c>
      <c r="B16" s="494" t="s">
        <v>126</v>
      </c>
      <c r="C16" s="495">
        <f>+'3.sz.mell_2020.fő'!C213</f>
        <v>517979735</v>
      </c>
      <c r="D16" s="495">
        <f>+'3.sz.mell_2020.fő'!D213</f>
        <v>484866988</v>
      </c>
      <c r="E16" s="495">
        <f>+'3.sz.mell_2020.fő'!E213</f>
        <v>407330774</v>
      </c>
      <c r="F16" s="496">
        <f t="shared" si="1"/>
        <v>0.840087661319603</v>
      </c>
      <c r="G16" s="505" t="s">
        <v>56</v>
      </c>
      <c r="H16" s="494" t="s">
        <v>132</v>
      </c>
      <c r="I16" s="495">
        <f>+'3.sz.mell_2020.fő'!I200</f>
        <v>0</v>
      </c>
      <c r="J16" s="495">
        <f>+'3.sz.mell_2020.fő'!J200</f>
        <v>0</v>
      </c>
      <c r="K16" s="495">
        <f>+'3.sz.mell_2020.fő'!K200</f>
        <v>0</v>
      </c>
      <c r="L16" s="496"/>
    </row>
    <row r="17" spans="1:12" s="465" customFormat="1" ht="20.25" customHeight="1">
      <c r="A17" s="493" t="s">
        <v>64</v>
      </c>
      <c r="B17" s="500" t="s">
        <v>127</v>
      </c>
      <c r="C17" s="495">
        <f>+'3.sz.mell_2020.fő'!C222</f>
        <v>3453000</v>
      </c>
      <c r="D17" s="495">
        <f>+'3.sz.mell_2020.fő'!D222</f>
        <v>39373107</v>
      </c>
      <c r="E17" s="495">
        <f>+'3.sz.mell_2020.fő'!E222</f>
        <v>39373107</v>
      </c>
      <c r="F17" s="496">
        <f t="shared" si="1"/>
        <v>1</v>
      </c>
      <c r="G17" s="497" t="s">
        <v>64</v>
      </c>
      <c r="H17" s="500" t="s">
        <v>133</v>
      </c>
      <c r="I17" s="495">
        <f>+'3.sz.mell_2020.fő'!I201</f>
        <v>0</v>
      </c>
      <c r="J17" s="495">
        <f>+'3.sz.mell_2020.fő'!J201</f>
        <v>0</v>
      </c>
      <c r="K17" s="495">
        <f>+'3.sz.mell_2020.fő'!K201</f>
        <v>0</v>
      </c>
      <c r="L17" s="496"/>
    </row>
    <row r="18" spans="1:12" ht="20.25" customHeight="1" thickBot="1">
      <c r="A18" s="506"/>
      <c r="B18" s="507" t="s">
        <v>148</v>
      </c>
      <c r="C18" s="508">
        <f>+C6+C12+C16+C17</f>
        <v>539926500</v>
      </c>
      <c r="D18" s="508">
        <f>+D6+D12+D16+D17</f>
        <v>637061011</v>
      </c>
      <c r="E18" s="508">
        <f>+E6+E12+E16+E17</f>
        <v>512986662</v>
      </c>
      <c r="F18" s="509">
        <f t="shared" si="1"/>
        <v>0.8052394560997549</v>
      </c>
      <c r="G18" s="507"/>
      <c r="H18" s="507" t="s">
        <v>149</v>
      </c>
      <c r="I18" s="508">
        <f>+I6+I12+I16+I17</f>
        <v>539926500</v>
      </c>
      <c r="J18" s="508">
        <f>+J6+J12+J16+J17</f>
        <v>637061011</v>
      </c>
      <c r="K18" s="508">
        <f>+K6+K12+K16+K17</f>
        <v>300408301</v>
      </c>
      <c r="L18" s="509">
        <f t="shared" si="0"/>
        <v>0.4715534239467058</v>
      </c>
    </row>
    <row r="20" spans="1:12" ht="15" thickBot="1">
      <c r="A20" s="462" t="s">
        <v>151</v>
      </c>
      <c r="L20" s="481" t="s">
        <v>216</v>
      </c>
    </row>
    <row r="21" spans="1:12" ht="40.5" customHeight="1">
      <c r="A21" s="487"/>
      <c r="B21" s="488" t="s">
        <v>104</v>
      </c>
      <c r="C21" s="489" t="s">
        <v>305</v>
      </c>
      <c r="D21" s="489" t="s">
        <v>843</v>
      </c>
      <c r="E21" s="489" t="s">
        <v>303</v>
      </c>
      <c r="F21" s="490" t="s">
        <v>304</v>
      </c>
      <c r="G21" s="491"/>
      <c r="H21" s="488" t="s">
        <v>105</v>
      </c>
      <c r="I21" s="489" t="str">
        <f>C21</f>
        <v>Eredeti előirányzat </v>
      </c>
      <c r="J21" s="489" t="str">
        <f>D21</f>
        <v>Módosított előirányzta V.</v>
      </c>
      <c r="K21" s="489" t="s">
        <v>303</v>
      </c>
      <c r="L21" s="492" t="s">
        <v>304</v>
      </c>
    </row>
    <row r="22" spans="1:12" ht="20.25" customHeight="1">
      <c r="A22" s="493" t="s">
        <v>23</v>
      </c>
      <c r="B22" s="494" t="s">
        <v>108</v>
      </c>
      <c r="C22" s="495">
        <f>SUM(C23:C27)</f>
        <v>0</v>
      </c>
      <c r="D22" s="495">
        <f>SUM(D23:D27)</f>
        <v>0</v>
      </c>
      <c r="E22" s="495">
        <f>SUM(E23:E27)</f>
        <v>0</v>
      </c>
      <c r="F22" s="496">
        <v>0</v>
      </c>
      <c r="G22" s="497" t="s">
        <v>23</v>
      </c>
      <c r="H22" s="494" t="s">
        <v>129</v>
      </c>
      <c r="I22" s="495">
        <f>SUM(I23:I27)</f>
        <v>0</v>
      </c>
      <c r="J22" s="495">
        <f>SUM(J23:J27)</f>
        <v>0</v>
      </c>
      <c r="K22" s="495">
        <f>SUM(K23:K27)</f>
        <v>0</v>
      </c>
      <c r="L22" s="496">
        <v>0</v>
      </c>
    </row>
    <row r="23" spans="1:12" ht="20.25" customHeight="1">
      <c r="A23" s="493" t="s">
        <v>111</v>
      </c>
      <c r="B23" s="500" t="s">
        <v>209</v>
      </c>
      <c r="C23" s="495">
        <v>0</v>
      </c>
      <c r="D23" s="495">
        <v>0</v>
      </c>
      <c r="E23" s="495">
        <v>0</v>
      </c>
      <c r="F23" s="496">
        <v>0</v>
      </c>
      <c r="G23" s="497" t="s">
        <v>111</v>
      </c>
      <c r="H23" s="500" t="s">
        <v>80</v>
      </c>
      <c r="I23" s="495">
        <v>0</v>
      </c>
      <c r="J23" s="495">
        <v>0</v>
      </c>
      <c r="K23" s="495">
        <v>0</v>
      </c>
      <c r="L23" s="496">
        <v>0</v>
      </c>
    </row>
    <row r="24" spans="1:12" ht="20.25" customHeight="1">
      <c r="A24" s="493" t="s">
        <v>112</v>
      </c>
      <c r="B24" s="499" t="s">
        <v>210</v>
      </c>
      <c r="C24" s="495">
        <v>0</v>
      </c>
      <c r="D24" s="495">
        <v>0</v>
      </c>
      <c r="E24" s="495">
        <v>0</v>
      </c>
      <c r="F24" s="496">
        <v>0</v>
      </c>
      <c r="G24" s="497" t="s">
        <v>112</v>
      </c>
      <c r="H24" s="500" t="s">
        <v>147</v>
      </c>
      <c r="I24" s="495">
        <v>0</v>
      </c>
      <c r="J24" s="495">
        <v>0</v>
      </c>
      <c r="K24" s="495">
        <v>0</v>
      </c>
      <c r="L24" s="496">
        <v>0</v>
      </c>
    </row>
    <row r="25" spans="1:12" ht="20.25" customHeight="1">
      <c r="A25" s="493" t="s">
        <v>113</v>
      </c>
      <c r="B25" s="501" t="s">
        <v>9</v>
      </c>
      <c r="C25" s="495">
        <v>0</v>
      </c>
      <c r="D25" s="495">
        <v>0</v>
      </c>
      <c r="E25" s="495">
        <v>0</v>
      </c>
      <c r="F25" s="496">
        <v>0</v>
      </c>
      <c r="G25" s="497" t="s">
        <v>113</v>
      </c>
      <c r="H25" s="500" t="s">
        <v>83</v>
      </c>
      <c r="I25" s="495">
        <v>0</v>
      </c>
      <c r="J25" s="495">
        <v>0</v>
      </c>
      <c r="K25" s="495">
        <v>0</v>
      </c>
      <c r="L25" s="496">
        <v>0</v>
      </c>
    </row>
    <row r="26" spans="1:12" ht="20.25" customHeight="1">
      <c r="A26" s="504" t="s">
        <v>114</v>
      </c>
      <c r="B26" s="494" t="s">
        <v>170</v>
      </c>
      <c r="C26" s="502">
        <v>0</v>
      </c>
      <c r="D26" s="502">
        <v>0</v>
      </c>
      <c r="E26" s="502">
        <v>0</v>
      </c>
      <c r="F26" s="496">
        <v>0</v>
      </c>
      <c r="G26" s="497" t="s">
        <v>114</v>
      </c>
      <c r="H26" s="500" t="s">
        <v>84</v>
      </c>
      <c r="I26" s="495">
        <v>0</v>
      </c>
      <c r="J26" s="495">
        <v>0</v>
      </c>
      <c r="K26" s="495">
        <v>0</v>
      </c>
      <c r="L26" s="496">
        <v>0</v>
      </c>
    </row>
    <row r="27" spans="1:12" ht="20.25" customHeight="1">
      <c r="A27" s="493" t="s">
        <v>115</v>
      </c>
      <c r="B27" s="501" t="s">
        <v>181</v>
      </c>
      <c r="C27" s="495">
        <v>0</v>
      </c>
      <c r="D27" s="495">
        <v>0</v>
      </c>
      <c r="E27" s="495">
        <v>0</v>
      </c>
      <c r="F27" s="496">
        <v>0</v>
      </c>
      <c r="G27" s="497" t="s">
        <v>115</v>
      </c>
      <c r="H27" s="500" t="s">
        <v>211</v>
      </c>
      <c r="I27" s="495">
        <v>0</v>
      </c>
      <c r="J27" s="495">
        <v>0</v>
      </c>
      <c r="K27" s="495">
        <v>0</v>
      </c>
      <c r="L27" s="496">
        <v>0</v>
      </c>
    </row>
    <row r="28" spans="1:12" ht="20.25" customHeight="1">
      <c r="A28" s="504" t="s">
        <v>45</v>
      </c>
      <c r="B28" s="494" t="s">
        <v>118</v>
      </c>
      <c r="C28" s="495">
        <f>SUM(C29:C31)</f>
        <v>0</v>
      </c>
      <c r="D28" s="495">
        <f>SUM(D29:D31)</f>
        <v>0</v>
      </c>
      <c r="E28" s="495">
        <f>SUM(E29:E31)</f>
        <v>0</v>
      </c>
      <c r="F28" s="496">
        <v>0</v>
      </c>
      <c r="G28" s="505" t="s">
        <v>45</v>
      </c>
      <c r="H28" s="494" t="s">
        <v>130</v>
      </c>
      <c r="I28" s="495">
        <f>SUM(I29:I31)</f>
        <v>0</v>
      </c>
      <c r="J28" s="495">
        <f>SUM(J29:J31)</f>
        <v>0</v>
      </c>
      <c r="K28" s="495">
        <f>SUM(K29:K31)</f>
        <v>0</v>
      </c>
      <c r="L28" s="496">
        <v>0</v>
      </c>
    </row>
    <row r="29" spans="1:12" ht="20.25" customHeight="1">
      <c r="A29" s="504" t="s">
        <v>111</v>
      </c>
      <c r="B29" s="501" t="s">
        <v>106</v>
      </c>
      <c r="C29" s="495">
        <v>0</v>
      </c>
      <c r="D29" s="495">
        <v>0</v>
      </c>
      <c r="E29" s="495">
        <v>0</v>
      </c>
      <c r="F29" s="496">
        <v>0</v>
      </c>
      <c r="G29" s="505" t="s">
        <v>111</v>
      </c>
      <c r="H29" s="494" t="s">
        <v>131</v>
      </c>
      <c r="I29" s="495">
        <v>0</v>
      </c>
      <c r="J29" s="495">
        <v>0</v>
      </c>
      <c r="K29" s="495">
        <v>0</v>
      </c>
      <c r="L29" s="496">
        <v>0</v>
      </c>
    </row>
    <row r="30" spans="1:12" ht="20.25" customHeight="1">
      <c r="A30" s="504" t="s">
        <v>112</v>
      </c>
      <c r="B30" s="500" t="s">
        <v>39</v>
      </c>
      <c r="C30" s="495">
        <v>0</v>
      </c>
      <c r="D30" s="495">
        <v>0</v>
      </c>
      <c r="E30" s="495">
        <v>0</v>
      </c>
      <c r="F30" s="496">
        <v>0</v>
      </c>
      <c r="G30" s="505" t="s">
        <v>112</v>
      </c>
      <c r="H30" s="494" t="s">
        <v>87</v>
      </c>
      <c r="I30" s="495">
        <v>0</v>
      </c>
      <c r="J30" s="495">
        <v>0</v>
      </c>
      <c r="K30" s="495">
        <v>0</v>
      </c>
      <c r="L30" s="496">
        <v>0</v>
      </c>
    </row>
    <row r="31" spans="1:12" ht="20.25" customHeight="1">
      <c r="A31" s="504" t="s">
        <v>113</v>
      </c>
      <c r="B31" s="501" t="s">
        <v>201</v>
      </c>
      <c r="C31" s="495">
        <v>0</v>
      </c>
      <c r="D31" s="495">
        <v>0</v>
      </c>
      <c r="E31" s="495">
        <v>0</v>
      </c>
      <c r="F31" s="496">
        <v>0</v>
      </c>
      <c r="G31" s="505" t="s">
        <v>113</v>
      </c>
      <c r="H31" s="494" t="s">
        <v>90</v>
      </c>
      <c r="I31" s="495">
        <v>0</v>
      </c>
      <c r="J31" s="495">
        <v>0</v>
      </c>
      <c r="K31" s="495">
        <v>0</v>
      </c>
      <c r="L31" s="496">
        <v>0</v>
      </c>
    </row>
    <row r="32" spans="1:12" ht="20.25" customHeight="1">
      <c r="A32" s="504" t="s">
        <v>56</v>
      </c>
      <c r="B32" s="494" t="s">
        <v>126</v>
      </c>
      <c r="C32" s="495">
        <v>0</v>
      </c>
      <c r="D32" s="495">
        <v>0</v>
      </c>
      <c r="E32" s="495">
        <v>0</v>
      </c>
      <c r="F32" s="496">
        <v>0</v>
      </c>
      <c r="G32" s="505" t="s">
        <v>56</v>
      </c>
      <c r="H32" s="494" t="s">
        <v>132</v>
      </c>
      <c r="I32" s="495">
        <v>0</v>
      </c>
      <c r="J32" s="495">
        <v>0</v>
      </c>
      <c r="K32" s="495">
        <v>0</v>
      </c>
      <c r="L32" s="496">
        <v>0</v>
      </c>
    </row>
    <row r="33" spans="1:12" s="465" customFormat="1" ht="20.25" customHeight="1">
      <c r="A33" s="493" t="s">
        <v>64</v>
      </c>
      <c r="B33" s="500" t="s">
        <v>127</v>
      </c>
      <c r="C33" s="495">
        <v>0</v>
      </c>
      <c r="D33" s="495">
        <v>0</v>
      </c>
      <c r="E33" s="495">
        <v>0</v>
      </c>
      <c r="F33" s="496">
        <v>0</v>
      </c>
      <c r="G33" s="497" t="s">
        <v>64</v>
      </c>
      <c r="H33" s="500" t="s">
        <v>133</v>
      </c>
      <c r="I33" s="495">
        <v>0</v>
      </c>
      <c r="J33" s="495">
        <v>0</v>
      </c>
      <c r="K33" s="495">
        <v>0</v>
      </c>
      <c r="L33" s="496">
        <v>0</v>
      </c>
    </row>
    <row r="34" spans="1:12" ht="20.25" customHeight="1" thickBot="1">
      <c r="A34" s="506"/>
      <c r="B34" s="507" t="s">
        <v>148</v>
      </c>
      <c r="C34" s="508">
        <f>+C22+C28+C32+C33</f>
        <v>0</v>
      </c>
      <c r="D34" s="508">
        <f>+D22+D28+D32+D33</f>
        <v>0</v>
      </c>
      <c r="E34" s="508">
        <f>+E22+E28+E32+E33</f>
        <v>0</v>
      </c>
      <c r="F34" s="509">
        <v>0</v>
      </c>
      <c r="G34" s="507"/>
      <c r="H34" s="507" t="s">
        <v>149</v>
      </c>
      <c r="I34" s="508">
        <f>+I22+I28+I32+I33</f>
        <v>0</v>
      </c>
      <c r="J34" s="508">
        <f>+J22+J28+J32+J33</f>
        <v>0</v>
      </c>
      <c r="K34" s="508">
        <f>+K22+K28+K32+K33</f>
        <v>0</v>
      </c>
      <c r="L34" s="509">
        <v>0</v>
      </c>
    </row>
    <row r="35" spans="1:12" ht="15">
      <c r="A35" s="365"/>
      <c r="B35" s="442"/>
      <c r="C35" s="514"/>
      <c r="D35" s="514"/>
      <c r="E35" s="514"/>
      <c r="F35" s="517"/>
      <c r="G35" s="442"/>
      <c r="H35" s="442"/>
      <c r="I35" s="442"/>
      <c r="J35" s="512"/>
      <c r="K35" s="514"/>
      <c r="L35" s="517"/>
    </row>
    <row r="36" spans="1:12" ht="15" thickBot="1">
      <c r="A36" s="462" t="s">
        <v>152</v>
      </c>
      <c r="L36" s="481" t="s">
        <v>216</v>
      </c>
    </row>
    <row r="37" spans="1:12" ht="40.5" customHeight="1">
      <c r="A37" s="487"/>
      <c r="B37" s="488" t="s">
        <v>104</v>
      </c>
      <c r="C37" s="489" t="s">
        <v>305</v>
      </c>
      <c r="D37" s="489" t="s">
        <v>843</v>
      </c>
      <c r="E37" s="489" t="s">
        <v>303</v>
      </c>
      <c r="F37" s="490" t="s">
        <v>304</v>
      </c>
      <c r="G37" s="491"/>
      <c r="H37" s="488" t="s">
        <v>105</v>
      </c>
      <c r="I37" s="489" t="str">
        <f>C37</f>
        <v>Eredeti előirányzat </v>
      </c>
      <c r="J37" s="489" t="str">
        <f>D37</f>
        <v>Módosított előirányzta V.</v>
      </c>
      <c r="K37" s="489" t="s">
        <v>303</v>
      </c>
      <c r="L37" s="492" t="s">
        <v>304</v>
      </c>
    </row>
    <row r="38" spans="1:12" ht="20.25" customHeight="1">
      <c r="A38" s="493" t="s">
        <v>23</v>
      </c>
      <c r="B38" s="494" t="s">
        <v>108</v>
      </c>
      <c r="C38" s="495">
        <f>SUM(C39:C43)</f>
        <v>0</v>
      </c>
      <c r="D38" s="495">
        <f>SUM(D39:D43)</f>
        <v>0</v>
      </c>
      <c r="E38" s="495">
        <f>SUM(E39:E43)</f>
        <v>0</v>
      </c>
      <c r="F38" s="496">
        <v>0</v>
      </c>
      <c r="G38" s="497" t="s">
        <v>23</v>
      </c>
      <c r="H38" s="494" t="s">
        <v>129</v>
      </c>
      <c r="I38" s="495">
        <f>SUM(I39:I43)</f>
        <v>0</v>
      </c>
      <c r="J38" s="495">
        <f>SUM(J39:J43)</f>
        <v>0</v>
      </c>
      <c r="K38" s="495">
        <f>SUM(K39:K43)</f>
        <v>0</v>
      </c>
      <c r="L38" s="496">
        <v>0</v>
      </c>
    </row>
    <row r="39" spans="1:12" ht="45">
      <c r="A39" s="493" t="s">
        <v>111</v>
      </c>
      <c r="B39" s="500" t="s">
        <v>109</v>
      </c>
      <c r="C39" s="495">
        <v>0</v>
      </c>
      <c r="D39" s="495">
        <v>0</v>
      </c>
      <c r="E39" s="495">
        <v>0</v>
      </c>
      <c r="F39" s="496">
        <v>0</v>
      </c>
      <c r="G39" s="497" t="s">
        <v>111</v>
      </c>
      <c r="H39" s="500" t="s">
        <v>80</v>
      </c>
      <c r="I39" s="495">
        <v>0</v>
      </c>
      <c r="J39" s="495">
        <v>0</v>
      </c>
      <c r="K39" s="495">
        <v>0</v>
      </c>
      <c r="L39" s="496">
        <v>0</v>
      </c>
    </row>
    <row r="40" spans="1:12" ht="20.25" customHeight="1">
      <c r="A40" s="493" t="s">
        <v>112</v>
      </c>
      <c r="B40" s="500" t="s">
        <v>110</v>
      </c>
      <c r="C40" s="495">
        <v>0</v>
      </c>
      <c r="D40" s="495">
        <v>0</v>
      </c>
      <c r="E40" s="495">
        <v>0</v>
      </c>
      <c r="F40" s="496">
        <v>0</v>
      </c>
      <c r="G40" s="497" t="s">
        <v>112</v>
      </c>
      <c r="H40" s="500" t="s">
        <v>147</v>
      </c>
      <c r="I40" s="495">
        <v>0</v>
      </c>
      <c r="J40" s="495">
        <v>0</v>
      </c>
      <c r="K40" s="495">
        <v>0</v>
      </c>
      <c r="L40" s="496">
        <v>0</v>
      </c>
    </row>
    <row r="41" spans="1:12" ht="20.25" customHeight="1">
      <c r="A41" s="493" t="s">
        <v>113</v>
      </c>
      <c r="B41" s="501" t="s">
        <v>103</v>
      </c>
      <c r="C41" s="495">
        <v>0</v>
      </c>
      <c r="D41" s="495">
        <v>0</v>
      </c>
      <c r="E41" s="495">
        <v>0</v>
      </c>
      <c r="F41" s="496">
        <v>0</v>
      </c>
      <c r="G41" s="497" t="s">
        <v>113</v>
      </c>
      <c r="H41" s="500" t="s">
        <v>83</v>
      </c>
      <c r="I41" s="495">
        <v>0</v>
      </c>
      <c r="J41" s="495">
        <v>0</v>
      </c>
      <c r="K41" s="495">
        <v>0</v>
      </c>
      <c r="L41" s="496">
        <v>0</v>
      </c>
    </row>
    <row r="42" spans="1:12" ht="20.25" customHeight="1">
      <c r="A42" s="504" t="s">
        <v>114</v>
      </c>
      <c r="B42" s="494" t="s">
        <v>9</v>
      </c>
      <c r="C42" s="502">
        <v>0</v>
      </c>
      <c r="D42" s="502">
        <v>0</v>
      </c>
      <c r="E42" s="502">
        <v>0</v>
      </c>
      <c r="F42" s="496">
        <v>0</v>
      </c>
      <c r="G42" s="497" t="s">
        <v>114</v>
      </c>
      <c r="H42" s="500" t="s">
        <v>84</v>
      </c>
      <c r="I42" s="495">
        <v>0</v>
      </c>
      <c r="J42" s="495">
        <v>0</v>
      </c>
      <c r="K42" s="495">
        <v>0</v>
      </c>
      <c r="L42" s="496">
        <v>0</v>
      </c>
    </row>
    <row r="43" spans="1:12" ht="20.25" customHeight="1">
      <c r="A43" s="493" t="s">
        <v>115</v>
      </c>
      <c r="B43" s="501" t="s">
        <v>25</v>
      </c>
      <c r="C43" s="495">
        <v>0</v>
      </c>
      <c r="D43" s="495">
        <v>0</v>
      </c>
      <c r="E43" s="495">
        <v>0</v>
      </c>
      <c r="F43" s="496">
        <v>0</v>
      </c>
      <c r="G43" s="497" t="s">
        <v>115</v>
      </c>
      <c r="H43" s="500" t="s">
        <v>85</v>
      </c>
      <c r="I43" s="495">
        <v>0</v>
      </c>
      <c r="J43" s="495">
        <v>0</v>
      </c>
      <c r="K43" s="495">
        <v>0</v>
      </c>
      <c r="L43" s="496">
        <v>0</v>
      </c>
    </row>
    <row r="44" spans="1:12" ht="20.25" customHeight="1">
      <c r="A44" s="504" t="s">
        <v>45</v>
      </c>
      <c r="B44" s="494" t="s">
        <v>118</v>
      </c>
      <c r="C44" s="495">
        <f>SUM(C45:C47)</f>
        <v>0</v>
      </c>
      <c r="D44" s="495">
        <f>SUM(D45:D47)</f>
        <v>0</v>
      </c>
      <c r="E44" s="495">
        <f>SUM(E45:E47)</f>
        <v>0</v>
      </c>
      <c r="F44" s="496">
        <v>0</v>
      </c>
      <c r="G44" s="505" t="s">
        <v>45</v>
      </c>
      <c r="H44" s="494" t="s">
        <v>130</v>
      </c>
      <c r="I44" s="495">
        <f>SUM(I45:I47)</f>
        <v>0</v>
      </c>
      <c r="J44" s="495">
        <f>SUM(J45:J47)</f>
        <v>0</v>
      </c>
      <c r="K44" s="495">
        <f>SUM(K45:K47)</f>
        <v>0</v>
      </c>
      <c r="L44" s="496">
        <v>0</v>
      </c>
    </row>
    <row r="45" spans="1:12" ht="20.25" customHeight="1">
      <c r="A45" s="504" t="s">
        <v>111</v>
      </c>
      <c r="B45" s="501" t="s">
        <v>106</v>
      </c>
      <c r="C45" s="495">
        <v>0</v>
      </c>
      <c r="D45" s="495">
        <v>0</v>
      </c>
      <c r="E45" s="495">
        <v>0</v>
      </c>
      <c r="F45" s="496">
        <v>0</v>
      </c>
      <c r="G45" s="505" t="s">
        <v>111</v>
      </c>
      <c r="H45" s="494" t="s">
        <v>131</v>
      </c>
      <c r="I45" s="495">
        <v>0</v>
      </c>
      <c r="J45" s="495">
        <v>0</v>
      </c>
      <c r="K45" s="495">
        <v>0</v>
      </c>
      <c r="L45" s="496">
        <v>0</v>
      </c>
    </row>
    <row r="46" spans="1:12" ht="20.25" customHeight="1">
      <c r="A46" s="504" t="s">
        <v>112</v>
      </c>
      <c r="B46" s="500" t="s">
        <v>107</v>
      </c>
      <c r="C46" s="495">
        <v>0</v>
      </c>
      <c r="D46" s="495">
        <v>0</v>
      </c>
      <c r="E46" s="495">
        <v>0</v>
      </c>
      <c r="F46" s="496">
        <v>0</v>
      </c>
      <c r="G46" s="505" t="s">
        <v>112</v>
      </c>
      <c r="H46" s="494" t="s">
        <v>87</v>
      </c>
      <c r="I46" s="495">
        <v>0</v>
      </c>
      <c r="J46" s="495">
        <v>0</v>
      </c>
      <c r="K46" s="495">
        <v>0</v>
      </c>
      <c r="L46" s="496">
        <v>0</v>
      </c>
    </row>
    <row r="47" spans="1:12" ht="20.25" customHeight="1">
      <c r="A47" s="504" t="s">
        <v>113</v>
      </c>
      <c r="B47" s="501" t="s">
        <v>42</v>
      </c>
      <c r="C47" s="495">
        <v>0</v>
      </c>
      <c r="D47" s="495">
        <v>0</v>
      </c>
      <c r="E47" s="495">
        <v>0</v>
      </c>
      <c r="F47" s="496">
        <v>0</v>
      </c>
      <c r="G47" s="505" t="s">
        <v>113</v>
      </c>
      <c r="H47" s="494" t="s">
        <v>90</v>
      </c>
      <c r="I47" s="495">
        <v>0</v>
      </c>
      <c r="J47" s="495">
        <v>0</v>
      </c>
      <c r="K47" s="495">
        <v>0</v>
      </c>
      <c r="L47" s="496">
        <v>0</v>
      </c>
    </row>
    <row r="48" spans="1:12" ht="20.25" customHeight="1">
      <c r="A48" s="504" t="s">
        <v>56</v>
      </c>
      <c r="B48" s="494" t="s">
        <v>126</v>
      </c>
      <c r="C48" s="495">
        <v>0</v>
      </c>
      <c r="D48" s="495">
        <v>0</v>
      </c>
      <c r="E48" s="495">
        <v>0</v>
      </c>
      <c r="F48" s="496">
        <v>0</v>
      </c>
      <c r="G48" s="505" t="s">
        <v>56</v>
      </c>
      <c r="H48" s="494" t="s">
        <v>132</v>
      </c>
      <c r="I48" s="495">
        <v>0</v>
      </c>
      <c r="J48" s="495">
        <v>0</v>
      </c>
      <c r="K48" s="495">
        <v>0</v>
      </c>
      <c r="L48" s="496">
        <v>0</v>
      </c>
    </row>
    <row r="49" spans="1:12" s="465" customFormat="1" ht="27.75" customHeight="1">
      <c r="A49" s="493" t="s">
        <v>64</v>
      </c>
      <c r="B49" s="500" t="s">
        <v>127</v>
      </c>
      <c r="C49" s="495">
        <v>0</v>
      </c>
      <c r="D49" s="495">
        <v>0</v>
      </c>
      <c r="E49" s="495">
        <v>0</v>
      </c>
      <c r="F49" s="496">
        <v>0</v>
      </c>
      <c r="G49" s="497" t="s">
        <v>64</v>
      </c>
      <c r="H49" s="500" t="s">
        <v>133</v>
      </c>
      <c r="I49" s="495">
        <v>0</v>
      </c>
      <c r="J49" s="495">
        <v>0</v>
      </c>
      <c r="K49" s="495">
        <v>0</v>
      </c>
      <c r="L49" s="496">
        <v>0</v>
      </c>
    </row>
    <row r="50" spans="1:12" ht="20.25" customHeight="1" thickBot="1">
      <c r="A50" s="506"/>
      <c r="B50" s="507" t="s">
        <v>148</v>
      </c>
      <c r="C50" s="508">
        <f>+C38+C44+C48+C49</f>
        <v>0</v>
      </c>
      <c r="D50" s="508">
        <f>+D38+D44+D48+D49</f>
        <v>0</v>
      </c>
      <c r="E50" s="508">
        <f>+E38+E44+E48+E49</f>
        <v>0</v>
      </c>
      <c r="F50" s="509">
        <v>0</v>
      </c>
      <c r="G50" s="507"/>
      <c r="H50" s="507" t="s">
        <v>149</v>
      </c>
      <c r="I50" s="508">
        <f>+I38+I44+I48+I49</f>
        <v>0</v>
      </c>
      <c r="J50" s="508">
        <f>+J38+J44+J48+J49</f>
        <v>0</v>
      </c>
      <c r="K50" s="508">
        <f>+K38+K44+K48+K49</f>
        <v>0</v>
      </c>
      <c r="L50" s="509">
        <v>0</v>
      </c>
    </row>
    <row r="52" spans="1:12" ht="15" thickBot="1">
      <c r="A52" s="462" t="s">
        <v>153</v>
      </c>
      <c r="L52" s="481" t="s">
        <v>216</v>
      </c>
    </row>
    <row r="53" spans="1:12" ht="30">
      <c r="A53" s="487"/>
      <c r="B53" s="488" t="s">
        <v>104</v>
      </c>
      <c r="C53" s="489" t="s">
        <v>305</v>
      </c>
      <c r="D53" s="489" t="s">
        <v>843</v>
      </c>
      <c r="E53" s="489" t="s">
        <v>303</v>
      </c>
      <c r="F53" s="490" t="s">
        <v>304</v>
      </c>
      <c r="G53" s="491"/>
      <c r="H53" s="488" t="s">
        <v>105</v>
      </c>
      <c r="I53" s="489" t="str">
        <f>C53</f>
        <v>Eredeti előirányzat </v>
      </c>
      <c r="J53" s="489" t="str">
        <f>D53</f>
        <v>Módosított előirányzta V.</v>
      </c>
      <c r="K53" s="489" t="s">
        <v>303</v>
      </c>
      <c r="L53" s="492" t="s">
        <v>304</v>
      </c>
    </row>
    <row r="54" spans="1:12" ht="20.25" customHeight="1">
      <c r="A54" s="493" t="s">
        <v>23</v>
      </c>
      <c r="B54" s="494" t="s">
        <v>108</v>
      </c>
      <c r="C54" s="495">
        <f aca="true" t="shared" si="2" ref="C54:D59">+C6+C22+C38</f>
        <v>18393765</v>
      </c>
      <c r="D54" s="495">
        <f t="shared" si="2"/>
        <v>112684916</v>
      </c>
      <c r="E54" s="495">
        <f>+E6+E22+E38</f>
        <v>66226731</v>
      </c>
      <c r="F54" s="496">
        <f>+E54/D54</f>
        <v>0.5877160258077487</v>
      </c>
      <c r="G54" s="497" t="s">
        <v>23</v>
      </c>
      <c r="H54" s="494" t="s">
        <v>129</v>
      </c>
      <c r="I54" s="495">
        <f>SUM(I55:I59)</f>
        <v>536373500</v>
      </c>
      <c r="J54" s="495">
        <f>SUM(J55:J59)</f>
        <v>597551904</v>
      </c>
      <c r="K54" s="495">
        <f>SUM(K55:K59)</f>
        <v>275641250</v>
      </c>
      <c r="L54" s="496">
        <f>+K54/J54</f>
        <v>0.4612841966611824</v>
      </c>
    </row>
    <row r="55" spans="1:12" ht="45">
      <c r="A55" s="493" t="s">
        <v>111</v>
      </c>
      <c r="B55" s="500" t="s">
        <v>109</v>
      </c>
      <c r="C55" s="495"/>
      <c r="D55" s="495"/>
      <c r="E55" s="495"/>
      <c r="F55" s="496"/>
      <c r="G55" s="497" t="s">
        <v>111</v>
      </c>
      <c r="H55" s="500" t="s">
        <v>80</v>
      </c>
      <c r="I55" s="495">
        <f aca="true" t="shared" si="3" ref="I55:J59">+I7+I23+I39</f>
        <v>266406681</v>
      </c>
      <c r="J55" s="495">
        <f t="shared" si="3"/>
        <v>330964764</v>
      </c>
      <c r="K55" s="495">
        <f>+K7+K23+K39</f>
        <v>176819895</v>
      </c>
      <c r="L55" s="496">
        <f aca="true" t="shared" si="4" ref="L55:L66">+K55/J55</f>
        <v>0.5342559517906867</v>
      </c>
    </row>
    <row r="56" spans="1:12" ht="20.25" customHeight="1">
      <c r="A56" s="493" t="s">
        <v>112</v>
      </c>
      <c r="B56" s="500" t="s">
        <v>110</v>
      </c>
      <c r="C56" s="495"/>
      <c r="D56" s="495"/>
      <c r="E56" s="495"/>
      <c r="F56" s="496"/>
      <c r="G56" s="497" t="s">
        <v>112</v>
      </c>
      <c r="H56" s="500" t="s">
        <v>147</v>
      </c>
      <c r="I56" s="495">
        <f t="shared" si="3"/>
        <v>56259036</v>
      </c>
      <c r="J56" s="495">
        <f t="shared" si="3"/>
        <v>64739706</v>
      </c>
      <c r="K56" s="495">
        <f>+K8+K24+K40</f>
        <v>29956891</v>
      </c>
      <c r="L56" s="496">
        <f t="shared" si="4"/>
        <v>0.46272825211779617</v>
      </c>
    </row>
    <row r="57" spans="1:12" ht="20.25" customHeight="1">
      <c r="A57" s="493" t="s">
        <v>113</v>
      </c>
      <c r="B57" s="501" t="s">
        <v>103</v>
      </c>
      <c r="C57" s="495"/>
      <c r="D57" s="495"/>
      <c r="E57" s="495"/>
      <c r="F57" s="496"/>
      <c r="G57" s="497" t="s">
        <v>113</v>
      </c>
      <c r="H57" s="500" t="s">
        <v>83</v>
      </c>
      <c r="I57" s="495">
        <f t="shared" si="3"/>
        <v>158130927</v>
      </c>
      <c r="J57" s="495">
        <f t="shared" si="3"/>
        <v>140195645</v>
      </c>
      <c r="K57" s="495">
        <f>+K9+K25+K41</f>
        <v>59594888</v>
      </c>
      <c r="L57" s="496">
        <f t="shared" si="4"/>
        <v>0.4250837320945312</v>
      </c>
    </row>
    <row r="58" spans="1:12" ht="20.25" customHeight="1">
      <c r="A58" s="504" t="s">
        <v>114</v>
      </c>
      <c r="B58" s="494" t="s">
        <v>9</v>
      </c>
      <c r="C58" s="495">
        <f t="shared" si="2"/>
        <v>18393765</v>
      </c>
      <c r="D58" s="495">
        <f aca="true" t="shared" si="5" ref="D55:E66">+D10+D26+D42</f>
        <v>112684916</v>
      </c>
      <c r="E58" s="495">
        <f t="shared" si="5"/>
        <v>66226730</v>
      </c>
      <c r="F58" s="496">
        <f aca="true" t="shared" si="6" ref="F58:F66">+E58/D58</f>
        <v>0.5877160169334466</v>
      </c>
      <c r="G58" s="497" t="s">
        <v>114</v>
      </c>
      <c r="H58" s="500" t="s">
        <v>84</v>
      </c>
      <c r="I58" s="495">
        <f t="shared" si="3"/>
        <v>0</v>
      </c>
      <c r="J58" s="495">
        <f t="shared" si="3"/>
        <v>0</v>
      </c>
      <c r="K58" s="495">
        <f>+K10+K26+K42</f>
        <v>0</v>
      </c>
      <c r="L58" s="496">
        <v>0</v>
      </c>
    </row>
    <row r="59" spans="1:12" ht="20.25" customHeight="1">
      <c r="A59" s="493" t="s">
        <v>115</v>
      </c>
      <c r="B59" s="501" t="s">
        <v>25</v>
      </c>
      <c r="C59" s="495"/>
      <c r="D59" s="495"/>
      <c r="E59" s="495"/>
      <c r="F59" s="496"/>
      <c r="G59" s="497" t="s">
        <v>115</v>
      </c>
      <c r="H59" s="500" t="s">
        <v>85</v>
      </c>
      <c r="I59" s="495">
        <f t="shared" si="3"/>
        <v>55576856</v>
      </c>
      <c r="J59" s="495">
        <f t="shared" si="3"/>
        <v>61651789</v>
      </c>
      <c r="K59" s="495">
        <f>+K11+K27+K43</f>
        <v>9269576</v>
      </c>
      <c r="L59" s="496">
        <f t="shared" si="4"/>
        <v>0.1503537229065648</v>
      </c>
    </row>
    <row r="60" spans="1:12" ht="22.5" customHeight="1">
      <c r="A60" s="504" t="s">
        <v>45</v>
      </c>
      <c r="B60" s="494" t="s">
        <v>118</v>
      </c>
      <c r="C60" s="495">
        <f>SUM(C61:C63)</f>
        <v>100000</v>
      </c>
      <c r="D60" s="495">
        <f t="shared" si="5"/>
        <v>136000</v>
      </c>
      <c r="E60" s="495">
        <f t="shared" si="5"/>
        <v>56050</v>
      </c>
      <c r="F60" s="496">
        <f t="shared" si="6"/>
        <v>0.41213235294117645</v>
      </c>
      <c r="G60" s="505" t="s">
        <v>45</v>
      </c>
      <c r="H60" s="494" t="s">
        <v>130</v>
      </c>
      <c r="I60" s="495">
        <f>SUM(I61:I63)</f>
        <v>3553000</v>
      </c>
      <c r="J60" s="495">
        <f>SUM(J61:J63)</f>
        <v>39509107</v>
      </c>
      <c r="K60" s="495">
        <f>SUM(K61:K63)</f>
        <v>24767051</v>
      </c>
      <c r="L60" s="496">
        <f t="shared" si="4"/>
        <v>0.6268694202579673</v>
      </c>
    </row>
    <row r="61" spans="1:12" ht="20.25" customHeight="1">
      <c r="A61" s="504" t="s">
        <v>111</v>
      </c>
      <c r="B61" s="501" t="s">
        <v>106</v>
      </c>
      <c r="C61" s="495"/>
      <c r="D61" s="495"/>
      <c r="E61" s="495"/>
      <c r="F61" s="496"/>
      <c r="G61" s="505" t="s">
        <v>111</v>
      </c>
      <c r="H61" s="494" t="s">
        <v>131</v>
      </c>
      <c r="I61" s="495">
        <f aca="true" t="shared" si="7" ref="I61:J65">+I13+I29+I45</f>
        <v>2918000</v>
      </c>
      <c r="J61" s="495">
        <f t="shared" si="7"/>
        <v>38894950</v>
      </c>
      <c r="K61" s="495">
        <f>+K13+K29+K45</f>
        <v>24152894</v>
      </c>
      <c r="L61" s="496">
        <f t="shared" si="4"/>
        <v>0.620977633343146</v>
      </c>
    </row>
    <row r="62" spans="1:12" ht="20.25" customHeight="1">
      <c r="A62" s="504" t="s">
        <v>112</v>
      </c>
      <c r="B62" s="500" t="s">
        <v>107</v>
      </c>
      <c r="C62" s="495"/>
      <c r="D62" s="495"/>
      <c r="E62" s="495"/>
      <c r="F62" s="496"/>
      <c r="G62" s="505" t="s">
        <v>112</v>
      </c>
      <c r="H62" s="494" t="s">
        <v>87</v>
      </c>
      <c r="I62" s="495">
        <f t="shared" si="7"/>
        <v>635000</v>
      </c>
      <c r="J62" s="495">
        <f t="shared" si="7"/>
        <v>0</v>
      </c>
      <c r="K62" s="495">
        <f>+K14+K30+K46</f>
        <v>0</v>
      </c>
      <c r="L62" s="496"/>
    </row>
    <row r="63" spans="1:12" ht="17.25" customHeight="1">
      <c r="A63" s="504" t="s">
        <v>113</v>
      </c>
      <c r="B63" s="501" t="s">
        <v>42</v>
      </c>
      <c r="C63" s="495">
        <f>'3.sz.mell_2020.fő'!C211</f>
        <v>100000</v>
      </c>
      <c r="D63" s="495">
        <f t="shared" si="5"/>
        <v>0</v>
      </c>
      <c r="E63" s="495">
        <f t="shared" si="5"/>
        <v>0</v>
      </c>
      <c r="F63" s="496"/>
      <c r="G63" s="505" t="s">
        <v>113</v>
      </c>
      <c r="H63" s="494" t="s">
        <v>90</v>
      </c>
      <c r="I63" s="495">
        <f t="shared" si="7"/>
        <v>0</v>
      </c>
      <c r="J63" s="495">
        <f t="shared" si="7"/>
        <v>614157</v>
      </c>
      <c r="K63" s="495">
        <f>+K15+K31+K47</f>
        <v>614157</v>
      </c>
      <c r="L63" s="496">
        <f t="shared" si="4"/>
        <v>1</v>
      </c>
    </row>
    <row r="64" spans="1:12" ht="22.5" customHeight="1">
      <c r="A64" s="504" t="s">
        <v>56</v>
      </c>
      <c r="B64" s="494" t="s">
        <v>126</v>
      </c>
      <c r="C64" s="495">
        <f>+C16+C32+C48</f>
        <v>517979735</v>
      </c>
      <c r="D64" s="495">
        <f t="shared" si="5"/>
        <v>484866988</v>
      </c>
      <c r="E64" s="495">
        <f t="shared" si="5"/>
        <v>407330774</v>
      </c>
      <c r="F64" s="496">
        <f t="shared" si="6"/>
        <v>0.840087661319603</v>
      </c>
      <c r="G64" s="505" t="s">
        <v>56</v>
      </c>
      <c r="H64" s="494" t="s">
        <v>132</v>
      </c>
      <c r="I64" s="495"/>
      <c r="J64" s="495"/>
      <c r="K64" s="495"/>
      <c r="L64" s="496"/>
    </row>
    <row r="65" spans="1:12" ht="20.25" customHeight="1">
      <c r="A65" s="493" t="s">
        <v>64</v>
      </c>
      <c r="B65" s="500" t="s">
        <v>127</v>
      </c>
      <c r="C65" s="495">
        <f>+C17+C33+C49</f>
        <v>3453000</v>
      </c>
      <c r="D65" s="495">
        <f t="shared" si="5"/>
        <v>39373107</v>
      </c>
      <c r="E65" s="495">
        <f t="shared" si="5"/>
        <v>39373107</v>
      </c>
      <c r="F65" s="496">
        <f t="shared" si="6"/>
        <v>1</v>
      </c>
      <c r="G65" s="497" t="s">
        <v>64</v>
      </c>
      <c r="H65" s="500" t="s">
        <v>133</v>
      </c>
      <c r="I65" s="495"/>
      <c r="J65" s="495"/>
      <c r="K65" s="495"/>
      <c r="L65" s="496"/>
    </row>
    <row r="66" spans="1:12" ht="22.5" customHeight="1" thickBot="1">
      <c r="A66" s="506"/>
      <c r="B66" s="507" t="s">
        <v>148</v>
      </c>
      <c r="C66" s="508">
        <f>+C54+C60+C64+C65</f>
        <v>539926500</v>
      </c>
      <c r="D66" s="495">
        <f t="shared" si="5"/>
        <v>637061011</v>
      </c>
      <c r="E66" s="495">
        <f t="shared" si="5"/>
        <v>512986662</v>
      </c>
      <c r="F66" s="518">
        <f t="shared" si="6"/>
        <v>0.8052394560997549</v>
      </c>
      <c r="G66" s="507"/>
      <c r="H66" s="507" t="s">
        <v>149</v>
      </c>
      <c r="I66" s="508">
        <f>+I54+I60+I64+I65</f>
        <v>539926500</v>
      </c>
      <c r="J66" s="495">
        <f>+J54+J60+J64+J65</f>
        <v>637061011</v>
      </c>
      <c r="K66" s="495">
        <f>+K54+K60+K64+K65</f>
        <v>300408301</v>
      </c>
      <c r="L66" s="518">
        <f t="shared" si="4"/>
        <v>0.4715534239467058</v>
      </c>
    </row>
  </sheetData>
  <sheetProtection/>
  <mergeCells count="2">
    <mergeCell ref="I1:L1"/>
    <mergeCell ref="A2:L2"/>
  </mergeCells>
  <printOptions horizontalCentered="1"/>
  <pageMargins left="0.7086614173228347" right="0.7086614173228347" top="0.5511811023622047" bottom="0.5511811023622047" header="0.31496062992125984" footer="0.31496062992125984"/>
  <pageSetup fitToHeight="2" horizontalDpi="600" verticalDpi="600" orientation="landscape" paperSize="9" scale="47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mikok</dc:creator>
  <cp:keywords/>
  <dc:description/>
  <cp:lastModifiedBy>Papp Krisztián</cp:lastModifiedBy>
  <cp:lastPrinted>2020-06-16T06:40:05Z</cp:lastPrinted>
  <dcterms:created xsi:type="dcterms:W3CDTF">2012-01-20T09:15:46Z</dcterms:created>
  <dcterms:modified xsi:type="dcterms:W3CDTF">2021-05-25T08:42:28Z</dcterms:modified>
  <cp:category/>
  <cp:version/>
  <cp:contentType/>
  <cp:contentStatus/>
</cp:coreProperties>
</file>